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2"/>
  <workbookPr filterPrivacy="1"/>
  <xr:revisionPtr revIDLastSave="0" documentId="13_ncr:1_{42724D89-7A31-44ED-A75F-C3583FB326F5}" xr6:coauthVersionLast="36" xr6:coauthVersionMax="36" xr10:uidLastSave="{00000000-0000-0000-0000-000000000000}"/>
  <bookViews>
    <workbookView xWindow="600" yWindow="2490" windowWidth="18580" windowHeight="1510" tabRatio="742" activeTab="5" xr2:uid="{00000000-000D-0000-FFFF-FFFF00000000}"/>
  </bookViews>
  <sheets>
    <sheet name="PF176" sheetId="20" r:id="rId1"/>
    <sheet name="PCH176" sheetId="23" r:id="rId2"/>
    <sheet name="PA176" sheetId="21" r:id="rId3"/>
    <sheet name="PF144" sheetId="7" r:id="rId4"/>
    <sheet name="PCH144" sheetId="17" r:id="rId5"/>
    <sheet name="PA144" sheetId="8" r:id="rId6"/>
    <sheet name="History" sheetId="24"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9" i="23" l="1"/>
  <c r="M76" i="23" l="1"/>
  <c r="H167" i="23" l="1"/>
  <c r="G167" i="23"/>
  <c r="F167" i="23"/>
  <c r="E167" i="23"/>
  <c r="D167" i="23"/>
  <c r="H166" i="23"/>
  <c r="G166" i="23"/>
  <c r="F166" i="23"/>
  <c r="E166" i="23"/>
  <c r="D166" i="23"/>
  <c r="H165" i="23"/>
  <c r="G165" i="23"/>
  <c r="F165" i="23"/>
  <c r="E165" i="23"/>
  <c r="D165" i="23"/>
  <c r="H164" i="23"/>
  <c r="G164" i="23"/>
  <c r="F164" i="23"/>
  <c r="E164" i="23"/>
  <c r="D164" i="23"/>
  <c r="E124" i="23"/>
  <c r="D124" i="23"/>
  <c r="E116" i="23"/>
  <c r="H163" i="23"/>
  <c r="G163" i="23"/>
  <c r="F163" i="23"/>
  <c r="H162" i="23"/>
  <c r="G162" i="23"/>
  <c r="F162" i="23"/>
  <c r="E162" i="23"/>
  <c r="D162" i="23"/>
  <c r="D163" i="23"/>
  <c r="E163" i="23"/>
  <c r="H161" i="23"/>
  <c r="G161" i="23"/>
  <c r="F161" i="23"/>
  <c r="E161" i="23"/>
  <c r="D161" i="23"/>
  <c r="H160" i="23"/>
  <c r="G160" i="23"/>
  <c r="F160" i="23"/>
  <c r="E160" i="23"/>
  <c r="D160" i="23"/>
  <c r="H159" i="23"/>
  <c r="G159" i="23"/>
  <c r="F159" i="23"/>
  <c r="E159" i="23"/>
  <c r="D159" i="23"/>
  <c r="H171" i="23" l="1"/>
  <c r="F173" i="23"/>
  <c r="F171" i="23"/>
  <c r="H173" i="23"/>
  <c r="E171" i="23"/>
  <c r="D171" i="23"/>
  <c r="G173" i="23"/>
  <c r="H172" i="23"/>
  <c r="D172" i="23"/>
  <c r="E172" i="23"/>
  <c r="G172" i="23"/>
  <c r="F172" i="23"/>
  <c r="D173" i="23"/>
  <c r="G171" i="23"/>
  <c r="E173" i="23"/>
  <c r="D149" i="23"/>
  <c r="E147" i="23"/>
  <c r="E149" i="23"/>
  <c r="E148" i="23"/>
  <c r="D148" i="23"/>
  <c r="D145" i="23"/>
  <c r="E145" i="23"/>
  <c r="D147" i="23"/>
  <c r="D146" i="23"/>
  <c r="E146" i="23"/>
  <c r="E144" i="23"/>
  <c r="D144" i="23"/>
  <c r="E143" i="23"/>
  <c r="E142" i="23"/>
  <c r="D143" i="23"/>
  <c r="D142" i="23"/>
  <c r="E141" i="23"/>
  <c r="D141" i="23"/>
  <c r="D140" i="23"/>
  <c r="E140" i="23"/>
  <c r="H174" i="23" l="1"/>
  <c r="F174" i="23"/>
  <c r="G174" i="23"/>
  <c r="D174" i="23"/>
  <c r="E174" i="23"/>
  <c r="E153" i="23"/>
  <c r="D153" i="23"/>
  <c r="D154" i="23"/>
  <c r="E154" i="23"/>
  <c r="E130" i="23"/>
  <c r="D130" i="23"/>
  <c r="E128" i="23"/>
  <c r="D128" i="23"/>
  <c r="E126" i="23"/>
  <c r="D126" i="23"/>
  <c r="E129" i="23"/>
  <c r="D129" i="23"/>
  <c r="E127" i="23"/>
  <c r="D127" i="23"/>
  <c r="E125" i="23"/>
  <c r="D125" i="23"/>
  <c r="E123" i="23"/>
  <c r="D123" i="23"/>
  <c r="E122" i="23"/>
  <c r="D122" i="23"/>
  <c r="E121" i="23"/>
  <c r="D121" i="23"/>
  <c r="E120" i="23"/>
  <c r="D120" i="23"/>
  <c r="E119" i="23"/>
  <c r="D119" i="23"/>
  <c r="E117" i="23"/>
  <c r="D118" i="23"/>
  <c r="E118" i="23"/>
  <c r="D117" i="23"/>
  <c r="E115" i="23"/>
  <c r="D116" i="23"/>
  <c r="D115" i="23"/>
  <c r="D155" i="23" l="1"/>
  <c r="E155" i="23"/>
  <c r="E134" i="23"/>
  <c r="E135" i="23"/>
  <c r="E136" i="23" s="1"/>
  <c r="D134" i="23"/>
  <c r="D135" i="23"/>
  <c r="AA10" i="7"/>
  <c r="D38" i="17" l="1"/>
  <c r="M47" i="17"/>
  <c r="D126" i="17"/>
  <c r="D115" i="17"/>
  <c r="G165" i="17"/>
  <c r="E163" i="17"/>
  <c r="H160" i="17"/>
  <c r="D149" i="17"/>
  <c r="D146" i="17"/>
  <c r="E127" i="17"/>
  <c r="D120" i="17"/>
  <c r="D125" i="17"/>
  <c r="H159" i="17"/>
  <c r="H166" i="17"/>
  <c r="D143" i="17"/>
  <c r="H161" i="17"/>
  <c r="D164" i="17"/>
  <c r="E129" i="17"/>
  <c r="E148" i="17"/>
  <c r="H167" i="17"/>
  <c r="F165" i="17"/>
  <c r="D163" i="17"/>
  <c r="G160" i="17"/>
  <c r="E147" i="17"/>
  <c r="D144" i="17"/>
  <c r="D127" i="17"/>
  <c r="E118" i="17"/>
  <c r="D142" i="17"/>
  <c r="G164" i="17"/>
  <c r="E124" i="17"/>
  <c r="G159" i="17"/>
  <c r="E164" i="17"/>
  <c r="F166" i="17"/>
  <c r="D141" i="17"/>
  <c r="D159" i="17"/>
  <c r="G167" i="17"/>
  <c r="E165" i="17"/>
  <c r="H162" i="17"/>
  <c r="F160" i="17"/>
  <c r="D147" i="17"/>
  <c r="E144" i="17"/>
  <c r="E126" i="17"/>
  <c r="D118" i="17"/>
  <c r="D167" i="17"/>
  <c r="E143" i="17"/>
  <c r="D162" i="17"/>
  <c r="G166" i="17"/>
  <c r="E123" i="17"/>
  <c r="E159" i="17"/>
  <c r="F161" i="17"/>
  <c r="D122" i="17"/>
  <c r="F167" i="17"/>
  <c r="D165" i="17"/>
  <c r="G162" i="17"/>
  <c r="E160" i="17"/>
  <c r="E145" i="17"/>
  <c r="E142" i="17"/>
  <c r="E125" i="17"/>
  <c r="E121" i="17"/>
  <c r="D121" i="17"/>
  <c r="E140" i="17"/>
  <c r="F164" i="17"/>
  <c r="D119" i="17"/>
  <c r="E117" i="17"/>
  <c r="G161" i="17"/>
  <c r="H163" i="17"/>
  <c r="D116" i="17"/>
  <c r="E167" i="17"/>
  <c r="H164" i="17"/>
  <c r="F162" i="17"/>
  <c r="D160" i="17"/>
  <c r="D145" i="17"/>
  <c r="E162" i="17"/>
  <c r="E119" i="17"/>
  <c r="D124" i="17"/>
  <c r="D130" i="17"/>
  <c r="D123" i="17"/>
  <c r="D129" i="17"/>
  <c r="E130" i="17"/>
  <c r="D117" i="17"/>
  <c r="E122" i="17"/>
  <c r="F159" i="17"/>
  <c r="E166" i="17"/>
  <c r="E116" i="17"/>
  <c r="E141" i="17"/>
  <c r="D166" i="17"/>
  <c r="G163" i="17"/>
  <c r="E161" i="17"/>
  <c r="D140" i="17"/>
  <c r="D148" i="17"/>
  <c r="E128" i="17"/>
  <c r="E115" i="17"/>
  <c r="H165" i="17"/>
  <c r="F163" i="17"/>
  <c r="D161" i="17"/>
  <c r="E149" i="17"/>
  <c r="E146" i="17"/>
  <c r="D128" i="17"/>
  <c r="E120" i="17"/>
  <c r="D136" i="23"/>
  <c r="D135" i="17" l="1"/>
  <c r="E173" i="17"/>
  <c r="G173" i="17"/>
  <c r="D173" i="17"/>
  <c r="E172" i="17"/>
  <c r="G171" i="17"/>
  <c r="E154" i="17"/>
  <c r="E135" i="17"/>
  <c r="H172" i="17"/>
  <c r="E134" i="17"/>
  <c r="F171" i="17"/>
  <c r="F172" i="17"/>
  <c r="E153" i="17"/>
  <c r="F173" i="17"/>
  <c r="H173" i="17"/>
  <c r="D153" i="17"/>
  <c r="D155" i="17" s="1"/>
  <c r="D172" i="17"/>
  <c r="E171" i="17"/>
  <c r="D134" i="17"/>
  <c r="H171" i="17"/>
  <c r="D171" i="17"/>
  <c r="G172" i="17"/>
  <c r="G174" i="17" s="1"/>
  <c r="D154" i="17"/>
  <c r="D136" i="17" l="1"/>
  <c r="E174" i="17"/>
  <c r="E155" i="17"/>
  <c r="F174" i="17"/>
  <c r="E136" i="17"/>
  <c r="D174" i="17"/>
  <c r="H174" i="17"/>
  <c r="S78" i="17"/>
  <c r="R78" i="17"/>
  <c r="Q78" i="17"/>
  <c r="P78" i="17"/>
  <c r="O78" i="17"/>
  <c r="N78" i="17"/>
  <c r="M78" i="17"/>
  <c r="L78" i="17"/>
  <c r="K78" i="17"/>
  <c r="J78" i="17"/>
  <c r="I78" i="17"/>
  <c r="H78" i="17"/>
  <c r="G78" i="17"/>
  <c r="F78" i="17"/>
  <c r="E78" i="17"/>
  <c r="D78" i="17"/>
  <c r="S77" i="17"/>
  <c r="R77" i="17"/>
  <c r="Q77" i="17"/>
  <c r="P77" i="17"/>
  <c r="O77" i="17"/>
  <c r="N77" i="17"/>
  <c r="M77" i="17"/>
  <c r="L77" i="17"/>
  <c r="S76" i="17"/>
  <c r="R76" i="17"/>
  <c r="Q76" i="17"/>
  <c r="P76" i="17"/>
  <c r="O76" i="17"/>
  <c r="N76" i="17"/>
  <c r="M76" i="17"/>
  <c r="L76" i="17"/>
  <c r="AK69" i="17"/>
  <c r="AJ69" i="17"/>
  <c r="AI69" i="17"/>
  <c r="AH69" i="17"/>
  <c r="AG69" i="17"/>
  <c r="AF69" i="17"/>
  <c r="AE69" i="17"/>
  <c r="AD69" i="17"/>
  <c r="AC69" i="17"/>
  <c r="AB69" i="17"/>
  <c r="AA69" i="17"/>
  <c r="Z69" i="17"/>
  <c r="Y69" i="17"/>
  <c r="X69" i="17"/>
  <c r="W69" i="17"/>
  <c r="V69" i="17"/>
  <c r="U69" i="17"/>
  <c r="T69" i="17"/>
  <c r="S69" i="17"/>
  <c r="R69" i="17"/>
  <c r="Q69" i="17"/>
  <c r="P69" i="17"/>
  <c r="O69" i="17"/>
  <c r="N69" i="17"/>
  <c r="M69" i="17"/>
  <c r="L69" i="17"/>
  <c r="K69" i="17"/>
  <c r="J69" i="17"/>
  <c r="I69" i="17"/>
  <c r="H69" i="17"/>
  <c r="G69" i="17"/>
  <c r="F69" i="17"/>
  <c r="E69" i="17"/>
  <c r="D69" i="17"/>
  <c r="D69" i="23" l="1"/>
  <c r="AK69" i="23"/>
  <c r="AJ69" i="23"/>
  <c r="AI69" i="23"/>
  <c r="AH69" i="23"/>
  <c r="AG69" i="23"/>
  <c r="AF69" i="23"/>
  <c r="AE69" i="23"/>
  <c r="AD69" i="23"/>
  <c r="AC69" i="23"/>
  <c r="AB69" i="23"/>
  <c r="AA69" i="23"/>
  <c r="Z69" i="23"/>
  <c r="Y69" i="23" l="1"/>
  <c r="X69" i="23"/>
  <c r="W69" i="23"/>
  <c r="V69" i="23"/>
  <c r="U69" i="23"/>
  <c r="T69" i="23"/>
  <c r="S69" i="23"/>
  <c r="R69" i="23"/>
  <c r="Q69" i="23"/>
  <c r="P69" i="23"/>
  <c r="O69" i="23"/>
  <c r="N69" i="23"/>
  <c r="M69" i="23"/>
  <c r="L69" i="23"/>
  <c r="K69" i="23"/>
  <c r="J69" i="23"/>
  <c r="I69" i="23"/>
  <c r="H69" i="23"/>
  <c r="G69" i="23"/>
  <c r="F69" i="23"/>
  <c r="E69" i="23"/>
  <c r="S78" i="23"/>
  <c r="R78" i="23"/>
  <c r="Q78" i="23"/>
  <c r="P78" i="23"/>
  <c r="O78" i="23"/>
  <c r="N78" i="23"/>
  <c r="M78" i="23"/>
  <c r="L78" i="23"/>
  <c r="K78" i="23"/>
  <c r="J78" i="23"/>
  <c r="I78" i="23"/>
  <c r="H78" i="23"/>
  <c r="G78" i="23"/>
  <c r="F78" i="23"/>
  <c r="E78" i="23"/>
  <c r="D78" i="23"/>
  <c r="O46" i="17" l="1"/>
  <c r="O49" i="17"/>
  <c r="O48" i="17"/>
  <c r="O47" i="17"/>
  <c r="N47" i="17"/>
  <c r="N46" i="17"/>
  <c r="N49" i="17"/>
  <c r="N48" i="17"/>
  <c r="M48" i="17"/>
  <c r="M46" i="17"/>
  <c r="M49" i="17"/>
  <c r="L49" i="17"/>
  <c r="L48" i="17"/>
  <c r="L47" i="17"/>
  <c r="L46" i="17"/>
  <c r="D47" i="17"/>
  <c r="O43" i="17"/>
  <c r="O42" i="17"/>
  <c r="O41" i="17"/>
  <c r="O40" i="17"/>
  <c r="O39" i="17"/>
  <c r="O38" i="17"/>
  <c r="O45" i="17"/>
  <c r="O44" i="17"/>
  <c r="N44" i="17"/>
  <c r="N43" i="17"/>
  <c r="N42" i="17"/>
  <c r="N41" i="17"/>
  <c r="N40" i="17"/>
  <c r="N39" i="17"/>
  <c r="N38" i="17"/>
  <c r="N45" i="17"/>
  <c r="M45" i="17"/>
  <c r="M44" i="17"/>
  <c r="M43" i="17"/>
  <c r="M42" i="17"/>
  <c r="M41" i="17"/>
  <c r="M40" i="17"/>
  <c r="M39" i="17"/>
  <c r="M38" i="17"/>
  <c r="L38" i="17"/>
  <c r="L45" i="17"/>
  <c r="L44" i="17"/>
  <c r="L43" i="17"/>
  <c r="L42" i="17"/>
  <c r="L41" i="17"/>
  <c r="L40" i="17"/>
  <c r="L39" i="17"/>
  <c r="O27" i="17"/>
  <c r="O37" i="17"/>
  <c r="O36" i="17"/>
  <c r="O35" i="17"/>
  <c r="O34" i="17"/>
  <c r="O33" i="17"/>
  <c r="O32" i="17"/>
  <c r="O31" i="17"/>
  <c r="O30" i="17"/>
  <c r="O29" i="17"/>
  <c r="O28" i="17"/>
  <c r="N37" i="17"/>
  <c r="N36" i="17"/>
  <c r="N35" i="17"/>
  <c r="N34" i="17"/>
  <c r="N33" i="17"/>
  <c r="N32" i="17"/>
  <c r="N31" i="17"/>
  <c r="N30" i="17"/>
  <c r="N29" i="17"/>
  <c r="N28" i="17"/>
  <c r="N27" i="17"/>
  <c r="M37" i="17"/>
  <c r="M36" i="17"/>
  <c r="M35" i="17"/>
  <c r="M34" i="17"/>
  <c r="M33" i="17"/>
  <c r="M32" i="17"/>
  <c r="M31" i="17"/>
  <c r="M30" i="17"/>
  <c r="M29" i="17"/>
  <c r="M28" i="17"/>
  <c r="M27" i="17"/>
  <c r="L37" i="17"/>
  <c r="L36" i="17"/>
  <c r="L35" i="17"/>
  <c r="L34" i="17"/>
  <c r="L33" i="17"/>
  <c r="L32" i="17"/>
  <c r="L31" i="17"/>
  <c r="L30" i="17"/>
  <c r="L29" i="17"/>
  <c r="L28" i="17"/>
  <c r="L27" i="17"/>
  <c r="O26" i="17"/>
  <c r="N26" i="17"/>
  <c r="M26" i="17"/>
  <c r="L26" i="17"/>
  <c r="O25" i="17"/>
  <c r="N25" i="17"/>
  <c r="M25" i="17"/>
  <c r="L25" i="17"/>
  <c r="O24" i="17"/>
  <c r="N24" i="17"/>
  <c r="M24" i="17"/>
  <c r="L24" i="17"/>
  <c r="O52" i="17" l="1"/>
  <c r="N54" i="17"/>
  <c r="O55" i="17"/>
  <c r="O57" i="17"/>
  <c r="N53" i="17"/>
  <c r="O53" i="17"/>
  <c r="O56" i="17"/>
  <c r="M52" i="17"/>
  <c r="N55" i="17"/>
  <c r="O54" i="17"/>
  <c r="L57" i="17"/>
  <c r="N56" i="17"/>
  <c r="L53" i="17"/>
  <c r="N57" i="17"/>
  <c r="M53" i="17"/>
  <c r="M56" i="17"/>
  <c r="L54" i="17"/>
  <c r="M57" i="17"/>
  <c r="L55" i="17"/>
  <c r="M54" i="17"/>
  <c r="N52" i="17"/>
  <c r="L52" i="17"/>
  <c r="M55" i="17"/>
  <c r="L56" i="17"/>
  <c r="L60" i="17" l="1"/>
  <c r="O60" i="17"/>
  <c r="M60" i="17"/>
  <c r="M64" i="17"/>
  <c r="M58" i="17"/>
  <c r="N58" i="17"/>
  <c r="N64" i="17"/>
  <c r="L64" i="17"/>
  <c r="L58" i="17"/>
  <c r="M59" i="17"/>
  <c r="O59" i="17"/>
  <c r="N59" i="17"/>
  <c r="N60" i="17"/>
  <c r="L59" i="17"/>
  <c r="O58" i="17"/>
  <c r="O64" i="17"/>
  <c r="O63" i="17" l="1"/>
  <c r="M63" i="17"/>
  <c r="L63" i="17"/>
  <c r="O62" i="17"/>
  <c r="O61" i="17"/>
  <c r="N62" i="17"/>
  <c r="N61" i="17"/>
  <c r="L62" i="17"/>
  <c r="L61" i="17"/>
  <c r="M62" i="17"/>
  <c r="M61" i="17"/>
  <c r="N63" i="17"/>
  <c r="Z7" i="21" l="1"/>
  <c r="AC7" i="21"/>
  <c r="AD7" i="21"/>
  <c r="AZ32" i="21"/>
  <c r="AZ31" i="21"/>
  <c r="AM56" i="21"/>
  <c r="AN56" i="21"/>
  <c r="AL56" i="21"/>
  <c r="AK56" i="21"/>
  <c r="G56" i="21" l="1"/>
  <c r="H56" i="21"/>
  <c r="C52" i="21"/>
  <c r="O43" i="23" l="1"/>
  <c r="O42" i="23"/>
  <c r="O41" i="23"/>
  <c r="O40" i="23"/>
  <c r="O45" i="23"/>
  <c r="N45" i="23"/>
  <c r="M45" i="23"/>
  <c r="L45" i="23"/>
  <c r="K45" i="23"/>
  <c r="J45" i="23"/>
  <c r="I45" i="23"/>
  <c r="H45" i="23"/>
  <c r="G45" i="23"/>
  <c r="F45" i="23"/>
  <c r="E45" i="23"/>
  <c r="D45" i="23"/>
  <c r="N43" i="23"/>
  <c r="M43" i="23"/>
  <c r="L43" i="23"/>
  <c r="K43" i="23"/>
  <c r="J43" i="23"/>
  <c r="I43" i="23"/>
  <c r="H43" i="23"/>
  <c r="G43" i="23"/>
  <c r="F43" i="23"/>
  <c r="E43" i="23"/>
  <c r="D43" i="23"/>
  <c r="N41" i="23"/>
  <c r="M41" i="23"/>
  <c r="L41" i="23"/>
  <c r="K41" i="23"/>
  <c r="J41" i="23"/>
  <c r="I41" i="23"/>
  <c r="H41" i="23"/>
  <c r="G41" i="23"/>
  <c r="F41" i="23"/>
  <c r="E41" i="23"/>
  <c r="D41" i="23"/>
  <c r="O39" i="23"/>
  <c r="N39" i="23"/>
  <c r="M39" i="23"/>
  <c r="L39" i="23"/>
  <c r="K39" i="23"/>
  <c r="J39" i="23"/>
  <c r="I39" i="23"/>
  <c r="H39" i="23"/>
  <c r="G39" i="23"/>
  <c r="F39" i="23"/>
  <c r="E39" i="23"/>
  <c r="O49" i="23"/>
  <c r="N49" i="23"/>
  <c r="M49" i="23"/>
  <c r="L49" i="23"/>
  <c r="K49" i="23"/>
  <c r="J49" i="23"/>
  <c r="I49" i="23"/>
  <c r="H49" i="23"/>
  <c r="G49" i="23"/>
  <c r="F49" i="23"/>
  <c r="E49" i="23"/>
  <c r="D49" i="23"/>
  <c r="O47" i="23"/>
  <c r="N47" i="23"/>
  <c r="M47" i="23"/>
  <c r="L47" i="23"/>
  <c r="K47" i="23"/>
  <c r="J47" i="23"/>
  <c r="I47" i="23"/>
  <c r="H47" i="23"/>
  <c r="G47" i="23"/>
  <c r="F47" i="23"/>
  <c r="E47" i="23"/>
  <c r="D47" i="23"/>
  <c r="O29" i="23"/>
  <c r="N29" i="23"/>
  <c r="M29" i="23"/>
  <c r="L29" i="23"/>
  <c r="K29" i="23"/>
  <c r="J29" i="23"/>
  <c r="I29" i="23"/>
  <c r="H29" i="23"/>
  <c r="G29" i="23"/>
  <c r="F29" i="23"/>
  <c r="E29" i="23"/>
  <c r="D29" i="23"/>
  <c r="O27" i="23"/>
  <c r="N27" i="23"/>
  <c r="M27" i="23"/>
  <c r="L27" i="23"/>
  <c r="K27" i="23"/>
  <c r="J27" i="23"/>
  <c r="I27" i="23"/>
  <c r="H27" i="23"/>
  <c r="G27" i="23"/>
  <c r="F27" i="23"/>
  <c r="E27" i="23"/>
  <c r="D27" i="23"/>
  <c r="O25" i="23"/>
  <c r="N25" i="23"/>
  <c r="M25" i="23"/>
  <c r="L25" i="23"/>
  <c r="K25" i="23"/>
  <c r="J25" i="23"/>
  <c r="I25" i="23"/>
  <c r="H25" i="23"/>
  <c r="G25" i="23"/>
  <c r="F25" i="23"/>
  <c r="E25" i="23"/>
  <c r="D25" i="23"/>
  <c r="O37" i="23"/>
  <c r="N37" i="23"/>
  <c r="M37" i="23"/>
  <c r="L37" i="23"/>
  <c r="K37" i="23"/>
  <c r="J37" i="23"/>
  <c r="I37" i="23"/>
  <c r="H37" i="23"/>
  <c r="G37" i="23"/>
  <c r="F37" i="23"/>
  <c r="E37" i="23"/>
  <c r="D37" i="23"/>
  <c r="D36" i="23"/>
  <c r="O35" i="23"/>
  <c r="N35" i="23"/>
  <c r="M35" i="23"/>
  <c r="L35" i="23"/>
  <c r="K35" i="23"/>
  <c r="J35" i="23"/>
  <c r="I35" i="23"/>
  <c r="H35" i="23"/>
  <c r="G35" i="23"/>
  <c r="F35" i="23"/>
  <c r="E35" i="23"/>
  <c r="D35" i="23"/>
  <c r="O33" i="23"/>
  <c r="N33" i="23"/>
  <c r="M33" i="23"/>
  <c r="L33" i="23"/>
  <c r="K33" i="23"/>
  <c r="J33" i="23"/>
  <c r="I33" i="23"/>
  <c r="H33" i="23"/>
  <c r="G33" i="23"/>
  <c r="F33" i="23"/>
  <c r="E33" i="23"/>
  <c r="D33" i="23"/>
  <c r="O31" i="23"/>
  <c r="N31" i="23"/>
  <c r="M31" i="23"/>
  <c r="L31" i="23"/>
  <c r="K31" i="23"/>
  <c r="J31" i="23"/>
  <c r="I31" i="23"/>
  <c r="H31" i="23"/>
  <c r="G31" i="23"/>
  <c r="F31" i="23"/>
  <c r="E31" i="23"/>
  <c r="D31" i="23"/>
  <c r="D34" i="23"/>
  <c r="N34" i="23"/>
  <c r="H53" i="23" l="1"/>
  <c r="J53" i="23"/>
  <c r="K53" i="23"/>
  <c r="I53" i="23"/>
  <c r="D53" i="23"/>
  <c r="L53" i="23"/>
  <c r="E53" i="23"/>
  <c r="M53" i="23"/>
  <c r="F53" i="23"/>
  <c r="N53" i="23"/>
  <c r="G53" i="23"/>
  <c r="O53" i="23"/>
  <c r="D57" i="23"/>
  <c r="G55" i="23"/>
  <c r="I55" i="23"/>
  <c r="D55" i="23"/>
  <c r="L55" i="23"/>
  <c r="E57" i="23"/>
  <c r="M57" i="23"/>
  <c r="F55" i="23"/>
  <c r="N55" i="23"/>
  <c r="E55" i="23"/>
  <c r="M55" i="23"/>
  <c r="K55" i="23"/>
  <c r="H55" i="23"/>
  <c r="J55" i="23"/>
  <c r="J57" i="23"/>
  <c r="K57" i="23"/>
  <c r="G57" i="23"/>
  <c r="O57" i="23"/>
  <c r="F57" i="23"/>
  <c r="N57" i="23"/>
  <c r="H57" i="23"/>
  <c r="L57" i="23"/>
  <c r="I57" i="23"/>
  <c r="S77" i="23" l="1"/>
  <c r="R77" i="23"/>
  <c r="Q77" i="23"/>
  <c r="P77" i="23"/>
  <c r="O77" i="23"/>
  <c r="N77" i="23"/>
  <c r="M77" i="23"/>
  <c r="L77" i="23"/>
  <c r="K77" i="23"/>
  <c r="S76" i="23"/>
  <c r="R76" i="23"/>
  <c r="Q76" i="23"/>
  <c r="P76" i="23"/>
  <c r="O76" i="23"/>
  <c r="N76" i="23"/>
  <c r="L76" i="23"/>
  <c r="K76" i="23"/>
  <c r="O68" i="23"/>
  <c r="O48" i="23"/>
  <c r="O46" i="23"/>
  <c r="O44" i="23"/>
  <c r="O38" i="23"/>
  <c r="O36" i="23"/>
  <c r="O34" i="23"/>
  <c r="N48" i="23"/>
  <c r="N46" i="23"/>
  <c r="N44" i="23"/>
  <c r="N42" i="23"/>
  <c r="N40" i="23"/>
  <c r="N38" i="23"/>
  <c r="N36" i="23"/>
  <c r="M48" i="23"/>
  <c r="M46" i="23"/>
  <c r="M44" i="23"/>
  <c r="M42" i="23"/>
  <c r="M40" i="23"/>
  <c r="M38" i="23"/>
  <c r="M36" i="23"/>
  <c r="M34" i="23"/>
  <c r="L48" i="23"/>
  <c r="L46" i="23"/>
  <c r="L44" i="23"/>
  <c r="L42" i="23"/>
  <c r="L40" i="23"/>
  <c r="L38" i="23"/>
  <c r="L36" i="23"/>
  <c r="L34" i="23"/>
  <c r="O32" i="23"/>
  <c r="N32" i="23"/>
  <c r="M32" i="23"/>
  <c r="L32" i="23"/>
  <c r="O30" i="23"/>
  <c r="N30" i="23"/>
  <c r="M30" i="23"/>
  <c r="L30" i="23"/>
  <c r="O28" i="23"/>
  <c r="N28" i="23"/>
  <c r="M28" i="23"/>
  <c r="L28" i="23"/>
  <c r="O26" i="23"/>
  <c r="N26" i="23"/>
  <c r="M26" i="23"/>
  <c r="L26" i="23"/>
  <c r="O24" i="23"/>
  <c r="N24" i="23"/>
  <c r="M24" i="23"/>
  <c r="L24" i="23"/>
  <c r="E19" i="23"/>
  <c r="E18" i="23"/>
  <c r="E17" i="23"/>
  <c r="D19" i="23"/>
  <c r="D18" i="23"/>
  <c r="L56" i="23" l="1"/>
  <c r="L60" i="23" s="1"/>
  <c r="O56" i="23"/>
  <c r="O60" i="23" s="1"/>
  <c r="M56" i="23"/>
  <c r="M60" i="23" s="1"/>
  <c r="N56" i="23"/>
  <c r="N60" i="23" s="1"/>
  <c r="L54" i="23"/>
  <c r="L59" i="23" s="1"/>
  <c r="M54" i="23"/>
  <c r="M59" i="23" s="1"/>
  <c r="N54" i="23"/>
  <c r="N59" i="23" s="1"/>
  <c r="L52" i="23"/>
  <c r="L58" i="23" s="1"/>
  <c r="M52" i="23"/>
  <c r="M58" i="23" s="1"/>
  <c r="N52" i="23"/>
  <c r="N58" i="23" s="1"/>
  <c r="O52" i="23"/>
  <c r="O58" i="23" s="1"/>
  <c r="D17" i="23"/>
  <c r="L63" i="23" l="1"/>
  <c r="N63" i="23"/>
  <c r="M63" i="23"/>
  <c r="O62" i="23"/>
  <c r="N62" i="23"/>
  <c r="N61" i="23"/>
  <c r="M62" i="23"/>
  <c r="M61" i="23"/>
  <c r="L61" i="23"/>
  <c r="L62" i="23"/>
  <c r="N64" i="23"/>
  <c r="M64" i="23"/>
  <c r="L64" i="23"/>
  <c r="F56" i="21" l="1"/>
  <c r="AW7" i="21"/>
  <c r="C10" i="21"/>
  <c r="C10" i="8"/>
  <c r="K77" i="17" l="1"/>
  <c r="J77" i="17"/>
  <c r="I77" i="17"/>
  <c r="H77" i="17"/>
  <c r="K76" i="17"/>
  <c r="J76" i="17"/>
  <c r="I76" i="17"/>
  <c r="H76" i="17"/>
  <c r="J77" i="23"/>
  <c r="I77" i="23"/>
  <c r="H77" i="23"/>
  <c r="J76" i="23"/>
  <c r="I76" i="23"/>
  <c r="H76" i="23"/>
  <c r="G77" i="17" l="1"/>
  <c r="F77" i="17"/>
  <c r="F76" i="17"/>
  <c r="F76" i="23"/>
  <c r="G77" i="23"/>
  <c r="F77" i="23"/>
  <c r="E77" i="17" l="1"/>
  <c r="D77" i="17"/>
  <c r="G76" i="17"/>
  <c r="E76" i="17"/>
  <c r="D76" i="17"/>
  <c r="O73" i="17"/>
  <c r="N73" i="17"/>
  <c r="M73" i="17"/>
  <c r="L73" i="17"/>
  <c r="K73" i="17"/>
  <c r="J73" i="17"/>
  <c r="I73" i="17"/>
  <c r="H73" i="17"/>
  <c r="G73" i="17"/>
  <c r="F73" i="17"/>
  <c r="E73" i="17"/>
  <c r="D73" i="17"/>
  <c r="O72" i="17"/>
  <c r="N72" i="17"/>
  <c r="M72" i="17"/>
  <c r="L72" i="17"/>
  <c r="K72" i="17"/>
  <c r="J72" i="17"/>
  <c r="I72" i="17"/>
  <c r="H72" i="17"/>
  <c r="G72" i="17"/>
  <c r="F72" i="17"/>
  <c r="E72" i="17"/>
  <c r="D72" i="17"/>
  <c r="AK68" i="17"/>
  <c r="AJ68" i="17"/>
  <c r="AI68" i="17"/>
  <c r="AH68" i="17"/>
  <c r="AG68" i="17"/>
  <c r="AF68" i="17"/>
  <c r="AE68" i="17"/>
  <c r="AD68" i="17"/>
  <c r="AC68" i="17"/>
  <c r="AB68" i="17"/>
  <c r="AA68" i="17"/>
  <c r="Z68" i="17"/>
  <c r="Y68" i="17"/>
  <c r="X68" i="17"/>
  <c r="W68" i="17"/>
  <c r="V68" i="17"/>
  <c r="U68" i="17"/>
  <c r="T68" i="17"/>
  <c r="S68" i="17"/>
  <c r="R68" i="17"/>
  <c r="Q68" i="17"/>
  <c r="P68" i="17"/>
  <c r="O68" i="17"/>
  <c r="N68" i="17"/>
  <c r="M68" i="17"/>
  <c r="L68" i="17"/>
  <c r="K68" i="17"/>
  <c r="J68" i="17"/>
  <c r="I68" i="17"/>
  <c r="H68" i="17"/>
  <c r="G68" i="17"/>
  <c r="F68" i="17"/>
  <c r="E68" i="17"/>
  <c r="D68" i="17"/>
  <c r="AK67" i="17"/>
  <c r="AJ67" i="17"/>
  <c r="AI67" i="17"/>
  <c r="AH67" i="17"/>
  <c r="AG67" i="17"/>
  <c r="AF67" i="17"/>
  <c r="AE67" i="17"/>
  <c r="AD67" i="17"/>
  <c r="AC67" i="17"/>
  <c r="AB67" i="17"/>
  <c r="AA67" i="17"/>
  <c r="Z67" i="17"/>
  <c r="Y67" i="17"/>
  <c r="X67" i="17"/>
  <c r="W67" i="17"/>
  <c r="V67" i="17"/>
  <c r="U67" i="17"/>
  <c r="T67" i="17"/>
  <c r="S67" i="17"/>
  <c r="R67" i="17"/>
  <c r="Q67" i="17"/>
  <c r="P67" i="17"/>
  <c r="O67" i="17"/>
  <c r="N67" i="17"/>
  <c r="M67" i="17"/>
  <c r="L67" i="17"/>
  <c r="K67" i="17"/>
  <c r="J67" i="17"/>
  <c r="I67" i="17"/>
  <c r="H67" i="17"/>
  <c r="G67" i="17"/>
  <c r="F67" i="17"/>
  <c r="E67" i="17"/>
  <c r="D67" i="17"/>
  <c r="E77" i="23"/>
  <c r="D77" i="23"/>
  <c r="G76" i="23"/>
  <c r="E76" i="23"/>
  <c r="D76" i="23"/>
  <c r="O73" i="23"/>
  <c r="N73" i="23"/>
  <c r="M73" i="23"/>
  <c r="L73" i="23"/>
  <c r="K73" i="23"/>
  <c r="J73" i="23"/>
  <c r="I73" i="23"/>
  <c r="H73" i="23"/>
  <c r="G73" i="23"/>
  <c r="F73" i="23"/>
  <c r="E73" i="23"/>
  <c r="D73" i="23"/>
  <c r="O72" i="23"/>
  <c r="N72" i="23"/>
  <c r="M72" i="23"/>
  <c r="L72" i="23"/>
  <c r="K72" i="23"/>
  <c r="J72" i="23"/>
  <c r="I72" i="23"/>
  <c r="H72" i="23"/>
  <c r="G72" i="23"/>
  <c r="F72" i="23"/>
  <c r="E72" i="23"/>
  <c r="D72" i="23"/>
  <c r="AK68" i="23" l="1"/>
  <c r="AJ68" i="23"/>
  <c r="AI68" i="23"/>
  <c r="AH68" i="23"/>
  <c r="AG68" i="23"/>
  <c r="AF68" i="23"/>
  <c r="AE68" i="23"/>
  <c r="AD68" i="23"/>
  <c r="AC68" i="23"/>
  <c r="AB68" i="23"/>
  <c r="AA68" i="23"/>
  <c r="Z68" i="23"/>
  <c r="Y68" i="23"/>
  <c r="X68" i="23"/>
  <c r="W68" i="23"/>
  <c r="V68" i="23"/>
  <c r="U68" i="23"/>
  <c r="T68" i="23"/>
  <c r="S68" i="23"/>
  <c r="R68" i="23"/>
  <c r="Q68" i="23"/>
  <c r="P68" i="23"/>
  <c r="N68" i="23"/>
  <c r="G68" i="23"/>
  <c r="M68" i="23"/>
  <c r="L68" i="23"/>
  <c r="K68" i="23"/>
  <c r="J68" i="23"/>
  <c r="I68" i="23"/>
  <c r="H68" i="23"/>
  <c r="F68" i="23"/>
  <c r="E68" i="23"/>
  <c r="D68" i="23"/>
  <c r="AK67" i="23"/>
  <c r="AJ67" i="23"/>
  <c r="AI67" i="23"/>
  <c r="AH67" i="23"/>
  <c r="AG67" i="23"/>
  <c r="AF67" i="23"/>
  <c r="AE67" i="23"/>
  <c r="AD67" i="23"/>
  <c r="AC67" i="23"/>
  <c r="AB67" i="23"/>
  <c r="AA67" i="23"/>
  <c r="Z67" i="23"/>
  <c r="Y67" i="23"/>
  <c r="X67" i="23"/>
  <c r="W67" i="23"/>
  <c r="V67" i="23"/>
  <c r="U67" i="23"/>
  <c r="T67" i="23"/>
  <c r="S67" i="23"/>
  <c r="R67" i="23"/>
  <c r="Q67" i="23"/>
  <c r="P67" i="23"/>
  <c r="O67" i="23"/>
  <c r="N67" i="23"/>
  <c r="M67" i="23"/>
  <c r="L67" i="23"/>
  <c r="K67" i="23"/>
  <c r="J67" i="23"/>
  <c r="I67" i="23"/>
  <c r="H67" i="23"/>
  <c r="G67" i="23"/>
  <c r="F67" i="23"/>
  <c r="E67" i="23"/>
  <c r="D67" i="23"/>
  <c r="AZ51" i="21" l="1"/>
  <c r="AZ52" i="21"/>
  <c r="AZ50" i="21"/>
  <c r="AZ49" i="21"/>
  <c r="AZ48" i="21"/>
  <c r="AZ47" i="21"/>
  <c r="AZ46" i="21"/>
  <c r="AZ45" i="21"/>
  <c r="AZ44" i="21"/>
  <c r="AZ43" i="21"/>
  <c r="AZ42" i="21"/>
  <c r="AZ41" i="21"/>
  <c r="AZ40" i="21"/>
  <c r="AZ39" i="21"/>
  <c r="AZ38" i="21"/>
  <c r="AZ37" i="21"/>
  <c r="AZ36" i="21"/>
  <c r="AZ35" i="21" l="1"/>
  <c r="AZ34" i="21"/>
  <c r="AZ33" i="21"/>
  <c r="E111" i="17" l="1"/>
  <c r="D111" i="17"/>
  <c r="E110" i="17"/>
  <c r="D110" i="17"/>
  <c r="E109" i="17"/>
  <c r="D109" i="17"/>
  <c r="E111" i="23"/>
  <c r="D111" i="23"/>
  <c r="E110" i="23"/>
  <c r="D110" i="23"/>
  <c r="E109" i="23"/>
  <c r="D109" i="23"/>
  <c r="K49" i="17" l="1"/>
  <c r="J49" i="17"/>
  <c r="I49" i="17"/>
  <c r="H49" i="17"/>
  <c r="G49" i="17"/>
  <c r="F49" i="17"/>
  <c r="E49" i="17"/>
  <c r="D49" i="17"/>
  <c r="K48" i="17"/>
  <c r="J48" i="17"/>
  <c r="I48" i="17"/>
  <c r="H48" i="17"/>
  <c r="G48" i="17"/>
  <c r="F48" i="17"/>
  <c r="E48" i="17"/>
  <c r="D48" i="17"/>
  <c r="K47" i="17"/>
  <c r="J47" i="17"/>
  <c r="J57" i="17" s="1"/>
  <c r="I47" i="17"/>
  <c r="H47" i="17"/>
  <c r="G47" i="17"/>
  <c r="F47" i="17"/>
  <c r="E47" i="17"/>
  <c r="K46" i="17"/>
  <c r="J46" i="17"/>
  <c r="I46" i="17"/>
  <c r="H46" i="17"/>
  <c r="G46" i="17"/>
  <c r="F46" i="17"/>
  <c r="E46" i="17"/>
  <c r="D46" i="17"/>
  <c r="K45" i="17"/>
  <c r="J45" i="17"/>
  <c r="I45" i="17"/>
  <c r="H45" i="17"/>
  <c r="G45" i="17"/>
  <c r="F45" i="17"/>
  <c r="E45" i="17"/>
  <c r="D45" i="17"/>
  <c r="K44" i="17"/>
  <c r="J44" i="17"/>
  <c r="I44" i="17"/>
  <c r="H44" i="17"/>
  <c r="G44" i="17"/>
  <c r="F44" i="17"/>
  <c r="E44" i="17"/>
  <c r="D44" i="17"/>
  <c r="K43" i="17"/>
  <c r="J43" i="17"/>
  <c r="I43" i="17"/>
  <c r="H43" i="17"/>
  <c r="G43" i="17"/>
  <c r="F43" i="17"/>
  <c r="E43" i="17"/>
  <c r="D43" i="17"/>
  <c r="K42" i="17"/>
  <c r="J42" i="17"/>
  <c r="I42" i="17"/>
  <c r="H42" i="17"/>
  <c r="G42" i="17"/>
  <c r="F42" i="17"/>
  <c r="E42" i="17"/>
  <c r="D42" i="17"/>
  <c r="K41" i="17"/>
  <c r="J41" i="17"/>
  <c r="I41" i="17"/>
  <c r="H41" i="17"/>
  <c r="G41" i="17"/>
  <c r="F41" i="17"/>
  <c r="E41" i="17"/>
  <c r="D41" i="17"/>
  <c r="K40" i="17"/>
  <c r="J40" i="17"/>
  <c r="I40" i="17"/>
  <c r="H40" i="17"/>
  <c r="G40" i="17"/>
  <c r="F40" i="17"/>
  <c r="E40" i="17"/>
  <c r="D40" i="17"/>
  <c r="K39" i="17"/>
  <c r="J39" i="17"/>
  <c r="I39" i="17"/>
  <c r="H39" i="17"/>
  <c r="G39" i="17"/>
  <c r="F39" i="17"/>
  <c r="E39" i="17"/>
  <c r="D39" i="17"/>
  <c r="K38" i="17"/>
  <c r="J38" i="17"/>
  <c r="I38" i="17"/>
  <c r="H38" i="17"/>
  <c r="G38" i="17"/>
  <c r="F38" i="17"/>
  <c r="E38" i="17"/>
  <c r="K37" i="17"/>
  <c r="J37" i="17"/>
  <c r="I37" i="17"/>
  <c r="H37" i="17"/>
  <c r="G37" i="17"/>
  <c r="F37" i="17"/>
  <c r="E37" i="17"/>
  <c r="D37" i="17"/>
  <c r="K36" i="17"/>
  <c r="J36" i="17"/>
  <c r="I36" i="17"/>
  <c r="H36" i="17"/>
  <c r="G36" i="17"/>
  <c r="F36" i="17"/>
  <c r="E36" i="17"/>
  <c r="D36" i="17"/>
  <c r="K35" i="17"/>
  <c r="J35" i="17"/>
  <c r="I35" i="17"/>
  <c r="H35" i="17"/>
  <c r="G35" i="17"/>
  <c r="F35" i="17"/>
  <c r="E35" i="17"/>
  <c r="D35" i="17"/>
  <c r="K34" i="17"/>
  <c r="J34" i="17"/>
  <c r="I34" i="17"/>
  <c r="H34" i="17"/>
  <c r="G34" i="17"/>
  <c r="F34" i="17"/>
  <c r="E34" i="17"/>
  <c r="D34" i="17"/>
  <c r="K33" i="17"/>
  <c r="J33" i="17"/>
  <c r="I33" i="17"/>
  <c r="H33" i="17"/>
  <c r="G33" i="17"/>
  <c r="F33" i="17"/>
  <c r="E33" i="17"/>
  <c r="D33" i="17"/>
  <c r="K32" i="17"/>
  <c r="J32" i="17"/>
  <c r="I32" i="17"/>
  <c r="H32" i="17"/>
  <c r="G32" i="17"/>
  <c r="F32" i="17"/>
  <c r="E32" i="17"/>
  <c r="D32" i="17"/>
  <c r="K31" i="17"/>
  <c r="J31" i="17"/>
  <c r="I31" i="17"/>
  <c r="H31" i="17"/>
  <c r="G31" i="17"/>
  <c r="F31" i="17"/>
  <c r="E31" i="17"/>
  <c r="D31" i="17"/>
  <c r="K30" i="17"/>
  <c r="J30" i="17"/>
  <c r="I30" i="17"/>
  <c r="H30" i="17"/>
  <c r="G30" i="17"/>
  <c r="F30" i="17"/>
  <c r="E30" i="17"/>
  <c r="D30" i="17"/>
  <c r="K29" i="17"/>
  <c r="J29" i="17"/>
  <c r="I29" i="17"/>
  <c r="H29" i="17"/>
  <c r="G29" i="17"/>
  <c r="F29" i="17"/>
  <c r="E29" i="17"/>
  <c r="D29" i="17"/>
  <c r="K28" i="17"/>
  <c r="J28" i="17"/>
  <c r="I28" i="17"/>
  <c r="H28" i="17"/>
  <c r="G28" i="17"/>
  <c r="F28" i="17"/>
  <c r="E28" i="17"/>
  <c r="D28" i="17"/>
  <c r="K27" i="17"/>
  <c r="J27" i="17"/>
  <c r="I27" i="17"/>
  <c r="H27" i="17"/>
  <c r="G27" i="17"/>
  <c r="F27" i="17"/>
  <c r="E27" i="17"/>
  <c r="D27" i="17"/>
  <c r="K26" i="17"/>
  <c r="J26" i="17"/>
  <c r="I26" i="17"/>
  <c r="H26" i="17"/>
  <c r="G26" i="17"/>
  <c r="F26" i="17"/>
  <c r="E26" i="17"/>
  <c r="D26" i="17"/>
  <c r="K25" i="17"/>
  <c r="J25" i="17"/>
  <c r="I25" i="17"/>
  <c r="H25" i="17"/>
  <c r="G25" i="17"/>
  <c r="F25" i="17"/>
  <c r="E25" i="17"/>
  <c r="D25" i="17"/>
  <c r="K24" i="17"/>
  <c r="J24" i="17"/>
  <c r="I24" i="17"/>
  <c r="H24" i="17"/>
  <c r="G24" i="17"/>
  <c r="F24" i="17"/>
  <c r="E24" i="17"/>
  <c r="D24" i="17"/>
  <c r="J55" i="17" l="1"/>
  <c r="K56" i="17"/>
  <c r="H57" i="17"/>
  <c r="I56" i="17"/>
  <c r="F56" i="17"/>
  <c r="J56" i="17"/>
  <c r="J60" i="17" s="1"/>
  <c r="E57" i="17"/>
  <c r="E56" i="17"/>
  <c r="H54" i="17"/>
  <c r="I55" i="17"/>
  <c r="J53" i="17"/>
  <c r="K55" i="17"/>
  <c r="D57" i="17"/>
  <c r="G54" i="17"/>
  <c r="G55" i="17"/>
  <c r="G56" i="17"/>
  <c r="F54" i="17"/>
  <c r="K54" i="17"/>
  <c r="K52" i="17"/>
  <c r="H55" i="17"/>
  <c r="K53" i="17"/>
  <c r="G57" i="17"/>
  <c r="I54" i="17"/>
  <c r="J54" i="17"/>
  <c r="F53" i="17"/>
  <c r="J52" i="17"/>
  <c r="I53" i="17"/>
  <c r="F55" i="17"/>
  <c r="D56" i="17"/>
  <c r="D60" i="17" s="1"/>
  <c r="E53" i="17"/>
  <c r="H52" i="17"/>
  <c r="H56" i="17"/>
  <c r="H53" i="17"/>
  <c r="I52" i="17"/>
  <c r="I57" i="17"/>
  <c r="K57" i="17"/>
  <c r="G52" i="17"/>
  <c r="D53" i="17"/>
  <c r="D52" i="17"/>
  <c r="F57" i="17"/>
  <c r="E52" i="17"/>
  <c r="G53" i="17"/>
  <c r="E54" i="17"/>
  <c r="E55" i="17"/>
  <c r="D54" i="17"/>
  <c r="D55" i="17"/>
  <c r="F52" i="17"/>
  <c r="G60" i="17" l="1"/>
  <c r="K59" i="17"/>
  <c r="F59" i="17"/>
  <c r="E60" i="17"/>
  <c r="G59" i="17"/>
  <c r="E59" i="17"/>
  <c r="K60" i="17"/>
  <c r="H59" i="17"/>
  <c r="J64" i="17"/>
  <c r="J58" i="17"/>
  <c r="E64" i="17"/>
  <c r="E58" i="17"/>
  <c r="H60" i="17"/>
  <c r="F58" i="17"/>
  <c r="F61" i="17" s="1"/>
  <c r="F64" i="17"/>
  <c r="D64" i="17"/>
  <c r="D58" i="17"/>
  <c r="H58" i="17"/>
  <c r="H64" i="17"/>
  <c r="I59" i="17"/>
  <c r="I58" i="17"/>
  <c r="I64" i="17"/>
  <c r="K64" i="17"/>
  <c r="K58" i="17"/>
  <c r="J59" i="17"/>
  <c r="J63" i="17" s="1"/>
  <c r="D59" i="17"/>
  <c r="D63" i="17" s="1"/>
  <c r="G58" i="17"/>
  <c r="G64" i="17"/>
  <c r="F60" i="17"/>
  <c r="F63" i="17" s="1"/>
  <c r="I60" i="17"/>
  <c r="K48" i="23"/>
  <c r="J48" i="23"/>
  <c r="I48" i="23"/>
  <c r="H48" i="23"/>
  <c r="G48" i="23"/>
  <c r="F48" i="23"/>
  <c r="E48" i="23"/>
  <c r="D48" i="23"/>
  <c r="K46" i="23"/>
  <c r="J46" i="23"/>
  <c r="I46" i="23"/>
  <c r="H46" i="23"/>
  <c r="G46" i="23"/>
  <c r="F46" i="23"/>
  <c r="E46" i="23"/>
  <c r="D46" i="23"/>
  <c r="K36" i="23"/>
  <c r="J36" i="23"/>
  <c r="I36" i="23"/>
  <c r="H36" i="23"/>
  <c r="G36" i="23"/>
  <c r="F36" i="23"/>
  <c r="E36" i="23"/>
  <c r="K34" i="23"/>
  <c r="J34" i="23"/>
  <c r="I34" i="23"/>
  <c r="H34" i="23"/>
  <c r="G34" i="23"/>
  <c r="F34" i="23"/>
  <c r="E34" i="23"/>
  <c r="K32" i="23"/>
  <c r="J32" i="23"/>
  <c r="I32" i="23"/>
  <c r="H32" i="23"/>
  <c r="G32" i="23"/>
  <c r="F32" i="23"/>
  <c r="E32" i="23"/>
  <c r="D32" i="23"/>
  <c r="K30" i="23"/>
  <c r="J30" i="23"/>
  <c r="I30" i="23"/>
  <c r="H30" i="23"/>
  <c r="G30" i="23"/>
  <c r="F30" i="23"/>
  <c r="E30" i="23"/>
  <c r="D30" i="23"/>
  <c r="K28" i="23"/>
  <c r="J28" i="23"/>
  <c r="I28" i="23"/>
  <c r="H28" i="23"/>
  <c r="G28" i="23"/>
  <c r="F28" i="23"/>
  <c r="E28" i="23"/>
  <c r="D28" i="23"/>
  <c r="K26" i="23"/>
  <c r="J26" i="23"/>
  <c r="I26" i="23"/>
  <c r="H26" i="23"/>
  <c r="G26" i="23"/>
  <c r="F26" i="23"/>
  <c r="E26" i="23"/>
  <c r="D26" i="23"/>
  <c r="K24" i="23"/>
  <c r="J24" i="23"/>
  <c r="I24" i="23"/>
  <c r="H24" i="23"/>
  <c r="G24" i="23"/>
  <c r="F24" i="23"/>
  <c r="E24" i="23"/>
  <c r="D24" i="23"/>
  <c r="G63" i="17" l="1"/>
  <c r="K63" i="17"/>
  <c r="E63" i="17"/>
  <c r="H63" i="17"/>
  <c r="F62" i="17"/>
  <c r="G61" i="17"/>
  <c r="G62" i="17"/>
  <c r="I61" i="17"/>
  <c r="I62" i="17"/>
  <c r="K62" i="17"/>
  <c r="K61" i="17"/>
  <c r="D62" i="17"/>
  <c r="D61" i="17"/>
  <c r="J61" i="17"/>
  <c r="J62" i="17"/>
  <c r="I63" i="17"/>
  <c r="H61" i="17"/>
  <c r="H62" i="17"/>
  <c r="E62" i="17"/>
  <c r="E61" i="17"/>
  <c r="E56" i="23"/>
  <c r="E60" i="23" s="1"/>
  <c r="D56" i="23"/>
  <c r="D60" i="23" s="1"/>
  <c r="G56" i="23"/>
  <c r="G60" i="23" s="1"/>
  <c r="F56" i="23"/>
  <c r="F60" i="23" s="1"/>
  <c r="I56" i="23"/>
  <c r="I60" i="23" s="1"/>
  <c r="K56" i="23"/>
  <c r="K60" i="23" s="1"/>
  <c r="K52" i="23"/>
  <c r="K58" i="23" s="1"/>
  <c r="J56" i="23"/>
  <c r="J60" i="23" s="1"/>
  <c r="H56" i="23"/>
  <c r="H60" i="23" s="1"/>
  <c r="J52" i="23"/>
  <c r="J58" i="23" s="1"/>
  <c r="D52" i="23"/>
  <c r="F52" i="23"/>
  <c r="F58" i="23" s="1"/>
  <c r="I52" i="23"/>
  <c r="I58" i="23" s="1"/>
  <c r="E52" i="23"/>
  <c r="E58" i="23" s="1"/>
  <c r="H52" i="23"/>
  <c r="H58" i="23" s="1"/>
  <c r="G52" i="23"/>
  <c r="G58" i="23" s="1"/>
  <c r="E40" i="23"/>
  <c r="K44" i="23"/>
  <c r="J44" i="23"/>
  <c r="I44" i="23"/>
  <c r="H44" i="23"/>
  <c r="G44" i="23"/>
  <c r="F44" i="23"/>
  <c r="E44" i="23"/>
  <c r="D44" i="23"/>
  <c r="K42" i="23"/>
  <c r="J42" i="23"/>
  <c r="I42" i="23"/>
  <c r="H42" i="23"/>
  <c r="G42" i="23"/>
  <c r="F42" i="23"/>
  <c r="E42" i="23"/>
  <c r="D42" i="23"/>
  <c r="K40" i="23"/>
  <c r="J40" i="23"/>
  <c r="I40" i="23"/>
  <c r="H40" i="23"/>
  <c r="G40" i="23"/>
  <c r="F40" i="23"/>
  <c r="D40" i="23"/>
  <c r="K38" i="23"/>
  <c r="J38" i="23"/>
  <c r="I38" i="23"/>
  <c r="H38" i="23"/>
  <c r="G38" i="23"/>
  <c r="F38" i="23"/>
  <c r="E38" i="23"/>
  <c r="D38" i="23"/>
  <c r="J62" i="23" l="1"/>
  <c r="I62" i="23"/>
  <c r="F62" i="23"/>
  <c r="K62" i="23"/>
  <c r="G62" i="23"/>
  <c r="H62" i="23"/>
  <c r="E62" i="23"/>
  <c r="D58" i="23"/>
  <c r="H54" i="23"/>
  <c r="H59" i="23" s="1"/>
  <c r="H63" i="23" s="1"/>
  <c r="I54" i="23"/>
  <c r="I59" i="23" s="1"/>
  <c r="I63" i="23" s="1"/>
  <c r="G54" i="23"/>
  <c r="G59" i="23" s="1"/>
  <c r="G63" i="23" s="1"/>
  <c r="D54" i="23"/>
  <c r="D59" i="23" s="1"/>
  <c r="D63" i="23" s="1"/>
  <c r="E54" i="23"/>
  <c r="E59" i="23" s="1"/>
  <c r="E63" i="23" s="1"/>
  <c r="K54" i="23"/>
  <c r="K59" i="23" s="1"/>
  <c r="K63" i="23" s="1"/>
  <c r="J54" i="23"/>
  <c r="J59" i="23" s="1"/>
  <c r="J63" i="23" s="1"/>
  <c r="F54" i="23"/>
  <c r="F59" i="23" s="1"/>
  <c r="F63" i="23" s="1"/>
  <c r="E105" i="23"/>
  <c r="D105" i="23"/>
  <c r="E104" i="23"/>
  <c r="D104" i="23"/>
  <c r="E103" i="23"/>
  <c r="D103" i="23"/>
  <c r="E102" i="23"/>
  <c r="D102" i="23"/>
  <c r="E101" i="23"/>
  <c r="D101" i="23"/>
  <c r="E100" i="23"/>
  <c r="D100" i="23"/>
  <c r="E99" i="23"/>
  <c r="D99" i="23"/>
  <c r="E98" i="23"/>
  <c r="D98" i="23"/>
  <c r="E97" i="23"/>
  <c r="D97" i="23"/>
  <c r="E96" i="23"/>
  <c r="D96" i="23"/>
  <c r="E95" i="23"/>
  <c r="D95" i="23"/>
  <c r="E94" i="23"/>
  <c r="D94" i="23"/>
  <c r="E93" i="23"/>
  <c r="D93" i="23"/>
  <c r="E92" i="23"/>
  <c r="D92" i="23"/>
  <c r="E91" i="23"/>
  <c r="D91" i="23"/>
  <c r="E90" i="23"/>
  <c r="D90" i="23"/>
  <c r="E89" i="23"/>
  <c r="D89" i="23"/>
  <c r="E88" i="23"/>
  <c r="D88" i="23"/>
  <c r="E87" i="23"/>
  <c r="D87" i="23"/>
  <c r="E86" i="23"/>
  <c r="D86" i="23"/>
  <c r="E85" i="23"/>
  <c r="D85" i="23"/>
  <c r="E84" i="23"/>
  <c r="D84" i="23"/>
  <c r="E83" i="23"/>
  <c r="D83" i="23"/>
  <c r="E82" i="23"/>
  <c r="D82" i="23"/>
  <c r="E13" i="23"/>
  <c r="E12" i="23"/>
  <c r="D13" i="23"/>
  <c r="D12" i="23"/>
  <c r="E9" i="23"/>
  <c r="E8" i="23"/>
  <c r="D9" i="23"/>
  <c r="D8" i="23"/>
  <c r="G61" i="23" l="1"/>
  <c r="I61" i="23"/>
  <c r="H61" i="23"/>
  <c r="F61" i="23"/>
  <c r="J61" i="23"/>
  <c r="K61" i="23"/>
  <c r="D61" i="23"/>
  <c r="D62" i="23"/>
  <c r="E61" i="23"/>
  <c r="E64" i="23"/>
  <c r="H64" i="23"/>
  <c r="G64" i="23"/>
  <c r="I64" i="23"/>
  <c r="J64" i="23"/>
  <c r="D64" i="23"/>
  <c r="K64" i="23"/>
  <c r="F64" i="23"/>
  <c r="AV7" i="21"/>
  <c r="AU7" i="21"/>
  <c r="AT7" i="21"/>
  <c r="AS7" i="21"/>
  <c r="AR7" i="21"/>
  <c r="AQ7" i="21"/>
  <c r="AP7" i="21"/>
  <c r="AO7" i="21"/>
  <c r="AN7" i="21"/>
  <c r="AM7" i="21"/>
  <c r="AL7" i="21"/>
  <c r="AK7" i="21"/>
  <c r="AJ7" i="21"/>
  <c r="AI7" i="21"/>
  <c r="AH7" i="21"/>
  <c r="AG7" i="21"/>
  <c r="AF7" i="21"/>
  <c r="AE7" i="21"/>
  <c r="AB7" i="21"/>
  <c r="AA7" i="21"/>
  <c r="Y7" i="21"/>
  <c r="X7" i="21"/>
  <c r="W7" i="21"/>
  <c r="V7" i="21"/>
  <c r="U7" i="21"/>
  <c r="T7" i="21"/>
  <c r="S7" i="21"/>
  <c r="R7" i="21"/>
  <c r="Q7" i="21"/>
  <c r="P7" i="21"/>
  <c r="O7" i="21"/>
  <c r="N7" i="21"/>
  <c r="M7" i="21"/>
  <c r="L7" i="21"/>
  <c r="K7" i="21"/>
  <c r="J7" i="21"/>
  <c r="I7" i="21"/>
  <c r="H7" i="21"/>
  <c r="G7" i="21"/>
  <c r="F7" i="21"/>
  <c r="AZ30" i="21"/>
  <c r="AZ29" i="21"/>
  <c r="AZ28" i="21"/>
  <c r="AZ27" i="21"/>
  <c r="AZ26" i="21"/>
  <c r="AZ25" i="21"/>
  <c r="AZ24" i="21"/>
  <c r="AZ23" i="21"/>
  <c r="AZ22" i="21"/>
  <c r="AZ21" i="21"/>
  <c r="AZ20" i="21"/>
  <c r="AZ19" i="21"/>
  <c r="AZ18" i="21"/>
  <c r="AZ17" i="21"/>
  <c r="AZ16" i="21"/>
  <c r="AZ15" i="21"/>
  <c r="AZ14" i="21"/>
  <c r="AZ13" i="21"/>
  <c r="AZ12" i="21"/>
  <c r="AZ11" i="21"/>
  <c r="AZ10" i="21"/>
  <c r="AZ53" i="21"/>
  <c r="C53" i="21"/>
  <c r="C32" i="21"/>
  <c r="C31" i="21"/>
  <c r="AW56" i="21"/>
  <c r="AV56" i="21"/>
  <c r="AU56" i="21"/>
  <c r="AT56" i="21"/>
  <c r="AS56" i="21"/>
  <c r="AR56" i="21"/>
  <c r="AQ56" i="21"/>
  <c r="AP56" i="21"/>
  <c r="AO56" i="21"/>
  <c r="AJ56" i="21"/>
  <c r="AI56" i="21"/>
  <c r="AH56" i="21"/>
  <c r="AG56" i="21"/>
  <c r="AF56" i="21"/>
  <c r="AE56" i="21"/>
  <c r="AD56" i="21"/>
  <c r="AC56" i="21"/>
  <c r="AB56" i="21"/>
  <c r="AA56" i="21"/>
  <c r="Z56" i="21"/>
  <c r="Y56" i="21"/>
  <c r="X56" i="21"/>
  <c r="W56" i="21"/>
  <c r="V56" i="21"/>
  <c r="U56" i="21"/>
  <c r="T56" i="21"/>
  <c r="S56" i="21"/>
  <c r="R56" i="21"/>
  <c r="Q56" i="21"/>
  <c r="P56" i="21"/>
  <c r="O56" i="21"/>
  <c r="N56" i="21"/>
  <c r="M56" i="21"/>
  <c r="L56" i="21"/>
  <c r="K56" i="21"/>
  <c r="J56" i="21"/>
  <c r="I56" i="21"/>
  <c r="C34" i="21"/>
  <c r="C35" i="21"/>
  <c r="C36" i="21"/>
  <c r="C37" i="21"/>
  <c r="C38" i="21"/>
  <c r="C39" i="21"/>
  <c r="C40" i="21"/>
  <c r="C41" i="21"/>
  <c r="C42" i="21"/>
  <c r="C43" i="21"/>
  <c r="C44" i="21"/>
  <c r="C45" i="21"/>
  <c r="C46" i="21"/>
  <c r="C47" i="21"/>
  <c r="C48" i="21"/>
  <c r="C49" i="21"/>
  <c r="C50" i="21"/>
  <c r="C51" i="21"/>
  <c r="C33" i="21"/>
  <c r="C19" i="21"/>
  <c r="C20" i="21"/>
  <c r="C21" i="21"/>
  <c r="C22" i="21"/>
  <c r="C23" i="21"/>
  <c r="C24" i="21"/>
  <c r="C25" i="21"/>
  <c r="C26" i="21"/>
  <c r="C27" i="21"/>
  <c r="C28" i="21"/>
  <c r="C29" i="21"/>
  <c r="C30" i="21"/>
  <c r="C12" i="21"/>
  <c r="C13" i="21"/>
  <c r="C14" i="21"/>
  <c r="C15" i="21"/>
  <c r="C16" i="21"/>
  <c r="C17" i="21"/>
  <c r="C18" i="21"/>
  <c r="C11" i="21"/>
  <c r="E105" i="17" l="1"/>
  <c r="D105" i="17"/>
  <c r="E104" i="17"/>
  <c r="D104" i="17"/>
  <c r="E103" i="17"/>
  <c r="D103" i="17"/>
  <c r="E102" i="17"/>
  <c r="D102" i="17"/>
  <c r="E101" i="17"/>
  <c r="D101" i="17"/>
  <c r="E100" i="17"/>
  <c r="D100" i="17"/>
  <c r="E99" i="17"/>
  <c r="D99" i="17"/>
  <c r="E98" i="17"/>
  <c r="D98" i="17"/>
  <c r="E97" i="17"/>
  <c r="D97" i="17"/>
  <c r="E96" i="17"/>
  <c r="D96" i="17"/>
  <c r="E95" i="17"/>
  <c r="D95" i="17"/>
  <c r="E94" i="17"/>
  <c r="D94" i="17"/>
  <c r="E93" i="17"/>
  <c r="D93" i="17"/>
  <c r="E92" i="17"/>
  <c r="D92" i="17"/>
  <c r="E91" i="17"/>
  <c r="D91" i="17"/>
  <c r="E90" i="17"/>
  <c r="D90" i="17"/>
  <c r="E89" i="17"/>
  <c r="D89" i="17"/>
  <c r="E88" i="17"/>
  <c r="D88" i="17"/>
  <c r="E87" i="17"/>
  <c r="D87" i="17"/>
  <c r="E86" i="17"/>
  <c r="D86" i="17"/>
  <c r="E85" i="17"/>
  <c r="D85" i="17"/>
  <c r="E84" i="17"/>
  <c r="D84" i="17"/>
  <c r="E83" i="17"/>
  <c r="D83" i="17"/>
  <c r="E82" i="17"/>
  <c r="D82" i="17"/>
  <c r="E19" i="17"/>
  <c r="D19" i="17"/>
  <c r="E18" i="17"/>
  <c r="D18" i="17"/>
  <c r="E17" i="17"/>
  <c r="D17" i="17"/>
  <c r="E13" i="17"/>
  <c r="D13" i="17"/>
  <c r="E12" i="17"/>
  <c r="D12" i="17"/>
  <c r="E9" i="17"/>
  <c r="D9" i="17"/>
  <c r="E8" i="17"/>
  <c r="D8" i="17"/>
  <c r="F7" i="8" l="1"/>
  <c r="G7" i="8"/>
  <c r="H7" i="8"/>
  <c r="I7" i="8"/>
  <c r="J7" i="8"/>
  <c r="K7" i="8"/>
  <c r="L7" i="8"/>
  <c r="M7" i="8"/>
  <c r="N7" i="8"/>
  <c r="O7" i="8"/>
  <c r="P7" i="8"/>
  <c r="Q7" i="8"/>
  <c r="R7" i="8"/>
  <c r="S7" i="8"/>
  <c r="T7" i="8"/>
  <c r="U7" i="8"/>
  <c r="V7" i="8"/>
  <c r="W7" i="8"/>
  <c r="X7" i="8"/>
  <c r="Y7" i="8"/>
  <c r="Z7" i="8"/>
  <c r="AA7" i="8"/>
  <c r="AB7" i="8"/>
  <c r="AC7" i="8"/>
  <c r="AD7" i="8"/>
  <c r="AE7" i="8"/>
  <c r="AF7" i="8"/>
  <c r="AG7" i="8"/>
  <c r="AH7" i="8"/>
  <c r="AI7" i="8"/>
  <c r="AJ7" i="8"/>
  <c r="AK7" i="8"/>
  <c r="AL7" i="8"/>
  <c r="AM7" i="8"/>
  <c r="AN7" i="8"/>
  <c r="AO7" i="8"/>
  <c r="AR10" i="8"/>
  <c r="AR11" i="8"/>
  <c r="AR12" i="8"/>
  <c r="AR13" i="8"/>
  <c r="AR14" i="8"/>
  <c r="AR15" i="8"/>
  <c r="AR16" i="8"/>
  <c r="AR17" i="8"/>
  <c r="AR18" i="8"/>
  <c r="AR19" i="8"/>
  <c r="AR20" i="8"/>
  <c r="AR21" i="8"/>
  <c r="AR22" i="8"/>
  <c r="AR23" i="8"/>
  <c r="AR24" i="8"/>
  <c r="AR25" i="8"/>
  <c r="AR26" i="8"/>
  <c r="AR27" i="8"/>
  <c r="AR28" i="8"/>
  <c r="AR29" i="8"/>
  <c r="AR30" i="8"/>
  <c r="AR31" i="8"/>
  <c r="AR32" i="8"/>
  <c r="AR33" i="8"/>
  <c r="AR34" i="8"/>
  <c r="AR35" i="8"/>
  <c r="AR36" i="8"/>
  <c r="AR37" i="8"/>
  <c r="AR38" i="8"/>
  <c r="AR39" i="8"/>
  <c r="AR40" i="8"/>
  <c r="AR41" i="8"/>
  <c r="AR42" i="8"/>
  <c r="AR43" i="8"/>
  <c r="AR44" i="8"/>
  <c r="AR45" i="8"/>
  <c r="AO48" i="8"/>
  <c r="AN48" i="8"/>
  <c r="AM48" i="8"/>
  <c r="AL48" i="8"/>
  <c r="AK48" i="8"/>
  <c r="AJ48" i="8"/>
  <c r="AI48" i="8"/>
  <c r="AH48" i="8"/>
  <c r="AG48" i="8"/>
  <c r="AF48" i="8"/>
  <c r="AE48" i="8"/>
  <c r="AD48" i="8"/>
  <c r="AC48" i="8"/>
  <c r="AB48" i="8"/>
  <c r="AA48" i="8"/>
  <c r="Z48" i="8"/>
  <c r="Y48" i="8"/>
  <c r="X48" i="8"/>
  <c r="W48" i="8"/>
  <c r="V48" i="8"/>
  <c r="U48" i="8"/>
  <c r="T48" i="8"/>
  <c r="S48" i="8"/>
  <c r="R48" i="8"/>
  <c r="Q48" i="8"/>
  <c r="P48" i="8"/>
  <c r="O48" i="8"/>
  <c r="N48" i="8"/>
  <c r="M48" i="8"/>
  <c r="L48" i="8"/>
  <c r="K48" i="8"/>
  <c r="J48" i="8"/>
  <c r="I48" i="8"/>
  <c r="H48" i="8"/>
  <c r="G48" i="8"/>
  <c r="F48"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O54" i="23"/>
  <c r="O55" i="23"/>
  <c r="O59" i="23" l="1"/>
  <c r="O61" i="23" s="1"/>
  <c r="O64" i="23"/>
  <c r="O63" i="2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A8" authorId="0" shapeId="0" xr:uid="{57C0BE78-B821-4F2D-ABAC-7EE4E54A78FA}">
      <text>
        <r>
          <rPr>
            <sz val="9"/>
            <color indexed="81"/>
            <rFont val="Arial"/>
            <family val="2"/>
          </rPr>
          <t xml:space="preserve">- The selected pin cell is yellow. 
- Duplicate pin names are red. </t>
        </r>
      </text>
    </comment>
    <comment ref="AB8" authorId="0" shapeId="0" xr:uid="{6900DA80-794D-48B1-BBA9-F43848771941}">
      <text>
        <r>
          <rPr>
            <sz val="9"/>
            <color indexed="81"/>
            <rFont val="Arial"/>
            <family val="2"/>
          </rPr>
          <t xml:space="preserve">- The selected pin cell is yellow.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A8" authorId="0" shapeId="0" xr:uid="{D72C5D03-1D25-4123-828E-5447A7530CF3}">
      <text>
        <r>
          <rPr>
            <sz val="9"/>
            <color indexed="81"/>
            <rFont val="Arial"/>
            <family val="2"/>
          </rPr>
          <t xml:space="preserve">- The selected pin cell is yellow. 
- Duplicate pin names are red. </t>
        </r>
      </text>
    </comment>
    <comment ref="AB8" authorId="0" shapeId="0" xr:uid="{9B08B2D7-9F77-47D4-AF27-C7ABB5A37309}">
      <text>
        <r>
          <rPr>
            <sz val="9"/>
            <color indexed="81"/>
            <rFont val="Arial"/>
            <family val="2"/>
          </rPr>
          <t xml:space="preserve">- The selected pin cell is yellow. </t>
        </r>
      </text>
    </comment>
  </commentList>
</comments>
</file>

<file path=xl/sharedStrings.xml><?xml version="1.0" encoding="utf-8"?>
<sst xmlns="http://schemas.openxmlformats.org/spreadsheetml/2006/main" count="9719" uniqueCount="1185">
  <si>
    <t>Name</t>
  </si>
  <si>
    <t>Active Mapping</t>
  </si>
  <si>
    <t>HCon#9</t>
  </si>
  <si>
    <t>HCon#10</t>
  </si>
  <si>
    <t>HCon#11</t>
  </si>
  <si>
    <t>HCon#16</t>
  </si>
  <si>
    <t>HCon#17</t>
  </si>
  <si>
    <t>HCon#18</t>
  </si>
  <si>
    <t>HCon#26</t>
  </si>
  <si>
    <t>HCon#27</t>
  </si>
  <si>
    <t>ACT #1</t>
  </si>
  <si>
    <t>ACT #2</t>
  </si>
  <si>
    <t>ACT #3</t>
  </si>
  <si>
    <t>ACT #4</t>
  </si>
  <si>
    <t>ACT #5</t>
  </si>
  <si>
    <t>ACT #6</t>
  </si>
  <si>
    <t>ACT #8</t>
  </si>
  <si>
    <t>ACT #9</t>
  </si>
  <si>
    <t>ACT #10</t>
  </si>
  <si>
    <t>P0.0</t>
  </si>
  <si>
    <t>LIN1_RX</t>
  </si>
  <si>
    <t>P0.1</t>
  </si>
  <si>
    <t>LIN1_TX</t>
  </si>
  <si>
    <t>P0.2</t>
  </si>
  <si>
    <t>LIN1_EN</t>
  </si>
  <si>
    <t>CAN0_1_TX</t>
  </si>
  <si>
    <t>P0.3</t>
  </si>
  <si>
    <t>CAN0_1_RX</t>
  </si>
  <si>
    <t>P1.0</t>
  </si>
  <si>
    <t>P1.1</t>
  </si>
  <si>
    <t>P1.2</t>
  </si>
  <si>
    <t>TRIG_IN[0]</t>
  </si>
  <si>
    <t>P1.3</t>
  </si>
  <si>
    <t>TRIG_IN[1]</t>
  </si>
  <si>
    <t>P2.0</t>
  </si>
  <si>
    <t>LIN0_RX</t>
  </si>
  <si>
    <t>CAN0_0_TX</t>
  </si>
  <si>
    <t>TRIG_IN[2]</t>
  </si>
  <si>
    <t>P2.1</t>
  </si>
  <si>
    <t>LIN0_TX</t>
  </si>
  <si>
    <t>CAN0_0_RX</t>
  </si>
  <si>
    <t>TRIG_IN[3]</t>
  </si>
  <si>
    <t>P2.2</t>
  </si>
  <si>
    <t>LIN0_EN</t>
  </si>
  <si>
    <t>TRIG_IN[4]</t>
  </si>
  <si>
    <t>P2.3</t>
  </si>
  <si>
    <t>TRIG_IN[5]</t>
  </si>
  <si>
    <t>P2.4</t>
  </si>
  <si>
    <t>TRIG_IN[6]</t>
  </si>
  <si>
    <t>P2.5</t>
  </si>
  <si>
    <t>TRIG_IN[7]</t>
  </si>
  <si>
    <t>P3.0</t>
  </si>
  <si>
    <t>TRIG_DBG[0]</t>
  </si>
  <si>
    <t>P3.1</t>
  </si>
  <si>
    <t>TRIG_DBG[1]</t>
  </si>
  <si>
    <t>P3.2</t>
  </si>
  <si>
    <t>P3.3</t>
  </si>
  <si>
    <t>P3.4</t>
  </si>
  <si>
    <t>P3.5</t>
  </si>
  <si>
    <t>P4.0</t>
  </si>
  <si>
    <t>TRIG_IN[10]</t>
  </si>
  <si>
    <t>P4.1</t>
  </si>
  <si>
    <t>EXT_MUX[0]_1</t>
  </si>
  <si>
    <t>TRIG_IN[11]</t>
  </si>
  <si>
    <t>P4.2</t>
  </si>
  <si>
    <t>EXT_MUX[0]_2</t>
  </si>
  <si>
    <t>TRIG_IN[12]</t>
  </si>
  <si>
    <t>P4.3</t>
  </si>
  <si>
    <t>EXT_MUX[0]_EN</t>
  </si>
  <si>
    <t>TRIG_IN[13]</t>
  </si>
  <si>
    <t>P4.4</t>
  </si>
  <si>
    <t>P5.0</t>
  </si>
  <si>
    <t>P5.1</t>
  </si>
  <si>
    <t>P5.2</t>
  </si>
  <si>
    <t>P5.3</t>
  </si>
  <si>
    <t>P5.4</t>
  </si>
  <si>
    <t>P5.5</t>
  </si>
  <si>
    <t>P6.0</t>
  </si>
  <si>
    <t>P6.1</t>
  </si>
  <si>
    <t>P6.2</t>
  </si>
  <si>
    <t>P6.3</t>
  </si>
  <si>
    <t>CAL_SUP_NZ</t>
  </si>
  <si>
    <t>P6.4</t>
  </si>
  <si>
    <t>P6.5</t>
  </si>
  <si>
    <t>P6.6</t>
  </si>
  <si>
    <t>TRIG_IN[8]</t>
  </si>
  <si>
    <t>P6.7</t>
  </si>
  <si>
    <t>TRIG_IN[9]</t>
  </si>
  <si>
    <t>P7.0</t>
  </si>
  <si>
    <t>P7.1</t>
  </si>
  <si>
    <t>P7.2</t>
  </si>
  <si>
    <t>P7.3</t>
  </si>
  <si>
    <t>P7.4</t>
  </si>
  <si>
    <t>P7.5</t>
  </si>
  <si>
    <t>P7.6</t>
  </si>
  <si>
    <t>TRIG_IN[16]</t>
  </si>
  <si>
    <t>P7.7</t>
  </si>
  <si>
    <t>TRIG_IN[17]</t>
  </si>
  <si>
    <t>P8.1</t>
  </si>
  <si>
    <t>TRIG_IN[14]</t>
  </si>
  <si>
    <t>P8.2</t>
  </si>
  <si>
    <t>TRIG_IN[15]</t>
  </si>
  <si>
    <t>P8.3</t>
  </si>
  <si>
    <t>P9.1</t>
  </si>
  <si>
    <t>P9.2</t>
  </si>
  <si>
    <t>P9.3</t>
  </si>
  <si>
    <t>TRIG_IN[18]</t>
  </si>
  <si>
    <t>P10.1</t>
  </si>
  <si>
    <t>TRIG_IN[19]</t>
  </si>
  <si>
    <t>P10.2</t>
  </si>
  <si>
    <t>P10.3</t>
  </si>
  <si>
    <t>P10.4</t>
  </si>
  <si>
    <t>TRIG_IN[20]</t>
  </si>
  <si>
    <t>P12.1</t>
  </si>
  <si>
    <t>TRIG_IN[21]</t>
  </si>
  <si>
    <t>P12.2</t>
  </si>
  <si>
    <t>EXT_MUX[1]_EN</t>
  </si>
  <si>
    <t>P12.3</t>
  </si>
  <si>
    <t>EXT_MUX[1]_0</t>
  </si>
  <si>
    <t>P12.4</t>
  </si>
  <si>
    <t>EXT_MUX[1]_1</t>
  </si>
  <si>
    <t>P12.5</t>
  </si>
  <si>
    <t>EXT_MUX[1]_2</t>
  </si>
  <si>
    <t>P12.6</t>
  </si>
  <si>
    <t>P12.7</t>
  </si>
  <si>
    <t>P13.1</t>
  </si>
  <si>
    <t>P13.2</t>
  </si>
  <si>
    <t>P13.3</t>
  </si>
  <si>
    <t>TRIG_IN[22]</t>
  </si>
  <si>
    <t>TRIG_IN[23]</t>
  </si>
  <si>
    <t>CAN1_0_TX</t>
  </si>
  <si>
    <t>P14.1</t>
  </si>
  <si>
    <t>CAN1_0_RX</t>
  </si>
  <si>
    <t>P14.2</t>
  </si>
  <si>
    <t>P14.3</t>
  </si>
  <si>
    <t>P14.4</t>
  </si>
  <si>
    <t>P14.5</t>
  </si>
  <si>
    <t>P14.6</t>
  </si>
  <si>
    <t>TRIG_IN[24]</t>
  </si>
  <si>
    <t>P14.7</t>
  </si>
  <si>
    <t>TRIG_IN[25]</t>
  </si>
  <si>
    <t>P15.0</t>
  </si>
  <si>
    <t>P15.1</t>
  </si>
  <si>
    <t>P15.2</t>
  </si>
  <si>
    <t>P15.3</t>
  </si>
  <si>
    <t>P16.0</t>
  </si>
  <si>
    <t>P16.1</t>
  </si>
  <si>
    <t>P16.2</t>
  </si>
  <si>
    <t>P16.3</t>
  </si>
  <si>
    <t>P17.0</t>
  </si>
  <si>
    <t>CAN1_1_TX</t>
  </si>
  <si>
    <t>P17.1</t>
  </si>
  <si>
    <t>CAN1_1_RX</t>
  </si>
  <si>
    <t>P17.2</t>
  </si>
  <si>
    <t>P17.3</t>
  </si>
  <si>
    <t>TRIG_IN[26]</t>
  </si>
  <si>
    <t>P17.4</t>
  </si>
  <si>
    <t>TRIG_IN[27]</t>
  </si>
  <si>
    <t>P17.5</t>
  </si>
  <si>
    <t>P17.6</t>
  </si>
  <si>
    <t>P17.7</t>
  </si>
  <si>
    <t>P18.0</t>
  </si>
  <si>
    <t>P18.1</t>
  </si>
  <si>
    <t>P18.2</t>
  </si>
  <si>
    <t>P18.3</t>
  </si>
  <si>
    <t>P18.4</t>
  </si>
  <si>
    <t>P18.5</t>
  </si>
  <si>
    <t>P18.6</t>
  </si>
  <si>
    <t>P18.7</t>
  </si>
  <si>
    <t>P19.0</t>
  </si>
  <si>
    <t>P19.1</t>
  </si>
  <si>
    <t>P19.2</t>
  </si>
  <si>
    <t>TRIG_IN[28]</t>
  </si>
  <si>
    <t>P19.3</t>
  </si>
  <si>
    <t>P19.4</t>
  </si>
  <si>
    <t>EXT_CLK</t>
  </si>
  <si>
    <t>TRIG_IN[30]</t>
  </si>
  <si>
    <t>TRIG_IN[31]</t>
  </si>
  <si>
    <t>Pin</t>
    <phoneticPr fontId="3"/>
  </si>
  <si>
    <t>VSSD</t>
    <phoneticPr fontId="3"/>
  </si>
  <si>
    <t>VDDD</t>
    <phoneticPr fontId="3"/>
  </si>
  <si>
    <t>VCCD</t>
    <phoneticPr fontId="3"/>
  </si>
  <si>
    <t>VREFH</t>
    <phoneticPr fontId="3"/>
  </si>
  <si>
    <t>XRES_L</t>
    <phoneticPr fontId="3"/>
  </si>
  <si>
    <t>Selected Pin Attribute</t>
    <phoneticPr fontId="4"/>
  </si>
  <si>
    <t>Function</t>
    <phoneticPr fontId="4"/>
  </si>
  <si>
    <t>HCon#14</t>
  </si>
  <si>
    <t>DS #1</t>
  </si>
  <si>
    <t>DS #2</t>
  </si>
  <si>
    <t>GPIO_STD</t>
  </si>
  <si>
    <t>NA</t>
  </si>
  <si>
    <t>ADC[0]_0</t>
  </si>
  <si>
    <t>ADC[0]_1</t>
  </si>
  <si>
    <t>ADC[0]_2</t>
  </si>
  <si>
    <t>ADC[0]_3</t>
  </si>
  <si>
    <t>ADC[0]_4</t>
  </si>
  <si>
    <t>ADC[0]_5</t>
  </si>
  <si>
    <t>ADC[0]_6</t>
  </si>
  <si>
    <t>ADC[0]_8</t>
  </si>
  <si>
    <t>ADC[0]_9</t>
  </si>
  <si>
    <t>ADC[0]_10</t>
  </si>
  <si>
    <t>ADC[0]_11</t>
  </si>
  <si>
    <t>ADC[0]_12</t>
  </si>
  <si>
    <t>ADC[0]_13</t>
  </si>
  <si>
    <t>ADC[0]_14</t>
  </si>
  <si>
    <t>ADC[0]_15</t>
  </si>
  <si>
    <t>ADC[0]_16</t>
  </si>
  <si>
    <t>ADC[0]_17</t>
  </si>
  <si>
    <t>ADC[0]_18</t>
  </si>
  <si>
    <t>ADC[0]_19</t>
  </si>
  <si>
    <t>ADC[0]_20</t>
  </si>
  <si>
    <t>ADC[0]_21</t>
  </si>
  <si>
    <t>ADC[0]_22</t>
  </si>
  <si>
    <t>ADC[0]_23</t>
  </si>
  <si>
    <t>ADC[1]_0</t>
  </si>
  <si>
    <t>ADC[1]_1</t>
  </si>
  <si>
    <t>ADC[1]_2</t>
  </si>
  <si>
    <t>ADC[1]_3</t>
  </si>
  <si>
    <t>ADC[1]_4</t>
  </si>
  <si>
    <t>ADC[1]_5</t>
  </si>
  <si>
    <t>ADC[1]_6</t>
  </si>
  <si>
    <t>ADC[1]_7</t>
  </si>
  <si>
    <t>ADC[1]_8</t>
  </si>
  <si>
    <t>ADC[1]_9</t>
  </si>
  <si>
    <t>ADC[1]_10</t>
  </si>
  <si>
    <t>ADC[1]_11</t>
  </si>
  <si>
    <t>ADC[1]_12</t>
  </si>
  <si>
    <t>ADC[1]_13</t>
  </si>
  <si>
    <t>ADC[1]_14</t>
  </si>
  <si>
    <t>ADC[1]_15</t>
  </si>
  <si>
    <t>ADC[1]_16</t>
  </si>
  <si>
    <t>ADC[1]_17</t>
  </si>
  <si>
    <t>ADC[1]_18</t>
  </si>
  <si>
    <t>ADC[1]_19</t>
  </si>
  <si>
    <t>ADC[1]_20</t>
  </si>
  <si>
    <t>ADC[1]_21</t>
  </si>
  <si>
    <t>ADC[1]_22</t>
  </si>
  <si>
    <t>ADC[1]_23</t>
  </si>
  <si>
    <t>RTC_CAL</t>
  </si>
  <si>
    <t>SWJ_SWO_TDO</t>
  </si>
  <si>
    <t>SWJ_SWCLK_TCLK</t>
  </si>
  <si>
    <t>SWJ_SWDIO_TMS</t>
  </si>
  <si>
    <t>SWJ_SWDOE_TDI</t>
  </si>
  <si>
    <t>DeepSleep Mapping</t>
    <phoneticPr fontId="3"/>
  </si>
  <si>
    <t>DS #0</t>
    <phoneticPr fontId="3"/>
  </si>
  <si>
    <t>HCon#8</t>
    <phoneticPr fontId="3"/>
  </si>
  <si>
    <t>ACT #0</t>
    <phoneticPr fontId="3"/>
  </si>
  <si>
    <t>144-LQFP</t>
    <phoneticPr fontId="3"/>
  </si>
  <si>
    <t>176-LQFP</t>
    <phoneticPr fontId="3"/>
  </si>
  <si>
    <t>Pin Function_176-LQFP</t>
    <phoneticPr fontId="3"/>
  </si>
  <si>
    <t>Pin Function_144-LQFP</t>
    <phoneticPr fontId="3"/>
  </si>
  <si>
    <t>Pin Assignment_144-LQFP</t>
    <phoneticPr fontId="3"/>
  </si>
  <si>
    <t>Pin Assignment_176-LQFP</t>
    <phoneticPr fontId="3"/>
  </si>
  <si>
    <t>Note</t>
    <phoneticPr fontId="4"/>
  </si>
  <si>
    <t>CAN1</t>
    <phoneticPr fontId="3"/>
  </si>
  <si>
    <t>Board Connection</t>
    <phoneticPr fontId="3"/>
  </si>
  <si>
    <t>GPIO</t>
    <phoneticPr fontId="3"/>
  </si>
  <si>
    <t>LIN</t>
    <phoneticPr fontId="3"/>
  </si>
  <si>
    <t>CAN0</t>
    <phoneticPr fontId="3"/>
  </si>
  <si>
    <t>SCB</t>
    <phoneticPr fontId="3"/>
  </si>
  <si>
    <t>SCB0</t>
    <phoneticPr fontId="3"/>
  </si>
  <si>
    <t>SCB1</t>
    <phoneticPr fontId="3"/>
  </si>
  <si>
    <t>SCB2</t>
    <phoneticPr fontId="3"/>
  </si>
  <si>
    <t>SCB3</t>
    <phoneticPr fontId="3"/>
  </si>
  <si>
    <t>SCB7</t>
    <phoneticPr fontId="3"/>
  </si>
  <si>
    <t>SCB6</t>
    <phoneticPr fontId="3"/>
  </si>
  <si>
    <t>SCB5</t>
    <phoneticPr fontId="3"/>
  </si>
  <si>
    <t>SCB4</t>
    <phoneticPr fontId="3"/>
  </si>
  <si>
    <t>TX</t>
    <phoneticPr fontId="3"/>
  </si>
  <si>
    <t>RX</t>
    <phoneticPr fontId="3"/>
  </si>
  <si>
    <t>LIN0</t>
    <phoneticPr fontId="3"/>
  </si>
  <si>
    <t>LIN1</t>
  </si>
  <si>
    <t>EN</t>
    <phoneticPr fontId="3"/>
  </si>
  <si>
    <t>Number of pins used</t>
    <phoneticPr fontId="3"/>
  </si>
  <si>
    <t>CAN0_1</t>
    <phoneticPr fontId="3"/>
  </si>
  <si>
    <t>CAN0_0</t>
    <phoneticPr fontId="3"/>
  </si>
  <si>
    <t>CAN1_0</t>
    <phoneticPr fontId="3"/>
  </si>
  <si>
    <t>CAN1_1</t>
    <phoneticPr fontId="3"/>
  </si>
  <si>
    <t>ADC</t>
    <phoneticPr fontId="3"/>
  </si>
  <si>
    <t>ADC[0]</t>
    <phoneticPr fontId="3"/>
  </si>
  <si>
    <t>ADC[1]</t>
    <phoneticPr fontId="3"/>
  </si>
  <si>
    <t>PWM</t>
    <phoneticPr fontId="3"/>
  </si>
  <si>
    <t>PWM_N</t>
    <phoneticPr fontId="3"/>
  </si>
  <si>
    <t>Number of pins used
for UART</t>
    <phoneticPr fontId="3"/>
  </si>
  <si>
    <t>Number of pins used
for SPI</t>
    <phoneticPr fontId="3"/>
  </si>
  <si>
    <t>Number of pins used
for I2C</t>
    <phoneticPr fontId="3"/>
  </si>
  <si>
    <t>Number of pins used
for PWM output</t>
    <phoneticPr fontId="3"/>
  </si>
  <si>
    <t>Number of pins used
for trigger output</t>
    <phoneticPr fontId="3"/>
  </si>
  <si>
    <t>CNT0</t>
    <phoneticPr fontId="3"/>
  </si>
  <si>
    <t>CNT1</t>
  </si>
  <si>
    <t>CNT2</t>
  </si>
  <si>
    <t>CNT3</t>
  </si>
  <si>
    <t>CNT4</t>
  </si>
  <si>
    <t>CNT5</t>
  </si>
  <si>
    <t>CNT6</t>
  </si>
  <si>
    <t>CNT7</t>
  </si>
  <si>
    <t>CNT8</t>
  </si>
  <si>
    <t>CNT9</t>
  </si>
  <si>
    <t>TCPWM_16bit (Group0)</t>
    <phoneticPr fontId="3"/>
  </si>
  <si>
    <t>CNT10</t>
  </si>
  <si>
    <t>CNT11</t>
  </si>
  <si>
    <t>CNT12</t>
  </si>
  <si>
    <t>CNT13</t>
  </si>
  <si>
    <t>CNT14</t>
  </si>
  <si>
    <t>CNT15</t>
  </si>
  <si>
    <t>CNT16</t>
  </si>
  <si>
    <t>CNT17</t>
  </si>
  <si>
    <t>CNT18</t>
  </si>
  <si>
    <t>CNT19</t>
  </si>
  <si>
    <t>CNT20</t>
  </si>
  <si>
    <t>CNT21</t>
  </si>
  <si>
    <t>CNT22</t>
  </si>
  <si>
    <t>CNT23</t>
  </si>
  <si>
    <t>CNT24</t>
  </si>
  <si>
    <t>CNT25</t>
  </si>
  <si>
    <t>CNT26</t>
  </si>
  <si>
    <t>CNT27</t>
  </si>
  <si>
    <t>CNT28</t>
  </si>
  <si>
    <t>CNT29</t>
  </si>
  <si>
    <t>CNT30</t>
  </si>
  <si>
    <t>CNT31</t>
  </si>
  <si>
    <t>CNT32</t>
  </si>
  <si>
    <t>CNT33</t>
  </si>
  <si>
    <t>Analog Inputs_0</t>
    <phoneticPr fontId="3"/>
  </si>
  <si>
    <t>Analog Inputs_1</t>
  </si>
  <si>
    <t>Analog Inputs_2</t>
  </si>
  <si>
    <t>Analog Inputs_3</t>
  </si>
  <si>
    <t>Analog Inputs_4</t>
  </si>
  <si>
    <t>Analog Inputs_5</t>
  </si>
  <si>
    <t>Analog Inputs_6</t>
  </si>
  <si>
    <t>Analog Inputs_7</t>
  </si>
  <si>
    <t>Analog Inputs_8</t>
  </si>
  <si>
    <t>Analog Inputs_9</t>
  </si>
  <si>
    <t>Analog Inputs_10</t>
  </si>
  <si>
    <t>Analog Inputs_11</t>
  </si>
  <si>
    <t>Analog Inputs_12</t>
  </si>
  <si>
    <t>Analog Inputs_13</t>
  </si>
  <si>
    <t>Analog Inputs_14</t>
  </si>
  <si>
    <t>Analog Inputs_15</t>
  </si>
  <si>
    <t>Analog Inputs_16</t>
  </si>
  <si>
    <t>Analog Inputs_17</t>
  </si>
  <si>
    <t>Analog Inputs_18</t>
  </si>
  <si>
    <t>Analog Inputs_19</t>
  </si>
  <si>
    <t>Analog Inputs_20</t>
  </si>
  <si>
    <t>Analog Inputs_21</t>
  </si>
  <si>
    <t>Analog Inputs_22</t>
  </si>
  <si>
    <t>Analog Inputs_23</t>
  </si>
  <si>
    <t>(Function)</t>
    <phoneticPr fontId="3"/>
  </si>
  <si>
    <t>(TCPWM TR)</t>
    <phoneticPr fontId="3"/>
  </si>
  <si>
    <t>(CAN)</t>
    <phoneticPr fontId="3"/>
  </si>
  <si>
    <t>(Others)</t>
    <phoneticPr fontId="3"/>
  </si>
  <si>
    <t>(DEBUG)</t>
    <phoneticPr fontId="3"/>
  </si>
  <si>
    <t>(Analog)</t>
    <phoneticPr fontId="3"/>
  </si>
  <si>
    <t>(TCPWM)</t>
    <phoneticPr fontId="3"/>
  </si>
  <si>
    <t>Main digital supply</t>
    <phoneticPr fontId="3"/>
  </si>
  <si>
    <t>Main digital ground</t>
    <phoneticPr fontId="3"/>
  </si>
  <si>
    <t>Main regulated supply</t>
    <phoneticPr fontId="3"/>
  </si>
  <si>
    <t>Main analog ground</t>
    <phoneticPr fontId="3"/>
  </si>
  <si>
    <t>HIBERNATE_WAKEUP[1]</t>
  </si>
  <si>
    <t>Power
Source</t>
    <phoneticPr fontId="3"/>
  </si>
  <si>
    <t>-</t>
    <phoneticPr fontId="3"/>
  </si>
  <si>
    <t>Type</t>
    <phoneticPr fontId="3"/>
  </si>
  <si>
    <t>I/O Port</t>
    <phoneticPr fontId="3"/>
  </si>
  <si>
    <t>P11.0</t>
    <phoneticPr fontId="3"/>
  </si>
  <si>
    <t>Pin Usage Status_144-LQFP for peripheral</t>
    <phoneticPr fontId="3"/>
  </si>
  <si>
    <t>Pin Usage Status_176-LQFP for peripheral</t>
    <phoneticPr fontId="3"/>
  </si>
  <si>
    <t>PWM0_18</t>
  </si>
  <si>
    <t>PWM0_22_N</t>
  </si>
  <si>
    <t>SCB0_RX (0)</t>
  </si>
  <si>
    <t>PWM0_17</t>
  </si>
  <si>
    <t>PWM0_18_N</t>
  </si>
  <si>
    <t>SCB0_TX (0)</t>
  </si>
  <si>
    <t>PWM0_14</t>
  </si>
  <si>
    <t>PWM0_17_N</t>
  </si>
  <si>
    <t>SCB0_RTS (0)</t>
  </si>
  <si>
    <t>PWM0_13</t>
  </si>
  <si>
    <t>PWM0_14_N</t>
  </si>
  <si>
    <t>SCB0_CTS (0)</t>
  </si>
  <si>
    <t>PWM0_12</t>
  </si>
  <si>
    <t>PWM0_13_N</t>
  </si>
  <si>
    <t>PWM0_H_4</t>
  </si>
  <si>
    <t>PWM0_11</t>
  </si>
  <si>
    <t>PWM0_12_N</t>
  </si>
  <si>
    <t>PWM0_H_5</t>
  </si>
  <si>
    <t>PWM0_10</t>
  </si>
  <si>
    <t>PWM0_11_N</t>
  </si>
  <si>
    <t>PWM0_H_6</t>
  </si>
  <si>
    <t>PWM0_8</t>
  </si>
  <si>
    <t>PWM0_10_N</t>
  </si>
  <si>
    <t>PWM0_H_7</t>
  </si>
  <si>
    <t>PWM0_7</t>
  </si>
  <si>
    <t>PWM0_8_N</t>
  </si>
  <si>
    <t>SCB7_RX (0)</t>
  </si>
  <si>
    <t>SCB7_MISO (0)</t>
  </si>
  <si>
    <t>PWM0_6</t>
  </si>
  <si>
    <t>PWM0_7_N</t>
  </si>
  <si>
    <t>SCB7_TX (0)</t>
  </si>
  <si>
    <t>SCB7_MOSI (0)</t>
  </si>
  <si>
    <t>PWM0_5</t>
  </si>
  <si>
    <t>PWM0_6_N</t>
  </si>
  <si>
    <t>SCB7_RTS (0)</t>
  </si>
  <si>
    <t>SCB7_SCL (0)</t>
  </si>
  <si>
    <t>SCB7_CLK (0)</t>
  </si>
  <si>
    <t>PWM0_4</t>
  </si>
  <si>
    <t>PWM0_5_N</t>
  </si>
  <si>
    <t>SCB7_CTS (0)</t>
  </si>
  <si>
    <t>SCB7_SEL0 (0)</t>
  </si>
  <si>
    <t>PWM0_3</t>
  </si>
  <si>
    <t>PWM0_4_N</t>
  </si>
  <si>
    <t>PWM0_H_4_N</t>
  </si>
  <si>
    <t>SCB7_SEL1 (0)</t>
  </si>
  <si>
    <t>PWM0_2</t>
  </si>
  <si>
    <t>PWM0_3_N</t>
  </si>
  <si>
    <t>PWM0_H_5_N</t>
  </si>
  <si>
    <t>PWM0_1</t>
  </si>
  <si>
    <t>PWM0_2_N</t>
  </si>
  <si>
    <t>PWM0_H_6_N</t>
  </si>
  <si>
    <t>SCB6_RX (0)</t>
  </si>
  <si>
    <t>SCB6_MISO (0)</t>
  </si>
  <si>
    <t>PWM0_0</t>
  </si>
  <si>
    <t>PWM0_1_N</t>
  </si>
  <si>
    <t>PWM0_H_7_N</t>
  </si>
  <si>
    <t>SCB6_TX (0)</t>
  </si>
  <si>
    <t>SCB6_SDA (0)</t>
  </si>
  <si>
    <t>SCB6_MOSI (0)</t>
  </si>
  <si>
    <t>PWM0_M_3</t>
  </si>
  <si>
    <t>PWM0_0_N</t>
  </si>
  <si>
    <t>SCB6_RTS (0)</t>
  </si>
  <si>
    <t>SCB6_SCL (0)</t>
  </si>
  <si>
    <t>SCB6_CLK (0)</t>
  </si>
  <si>
    <t>PWM0_M_2</t>
  </si>
  <si>
    <t>PWM0_M_3_N</t>
  </si>
  <si>
    <t>SCB6_CTS (0)</t>
  </si>
  <si>
    <t>SCB6_SEL0 (0)</t>
  </si>
  <si>
    <t>PWM0_M_1</t>
  </si>
  <si>
    <t>PWM0_M_2_N</t>
  </si>
  <si>
    <t>SCB6_SEL1 (0)</t>
  </si>
  <si>
    <t>PWM0_M_0</t>
  </si>
  <si>
    <t>PWM0_M_1_N</t>
  </si>
  <si>
    <t>PWM0_M_0_N</t>
  </si>
  <si>
    <t>SCB5_RX (0)</t>
  </si>
  <si>
    <t>SCB5_MISO (0)</t>
  </si>
  <si>
    <t>SCB5_TX (0)</t>
  </si>
  <si>
    <t>SCB5_SDA (0)</t>
  </si>
  <si>
    <t>SCB5_MOSI (0)</t>
  </si>
  <si>
    <t>SCB5_RTS (0)</t>
  </si>
  <si>
    <t>SCB5_SCL (0)</t>
  </si>
  <si>
    <t>SCB5_CLK (0)</t>
  </si>
  <si>
    <t>SCB5_CTS (0)</t>
  </si>
  <si>
    <t>SCB5_SEL0 (0)</t>
  </si>
  <si>
    <t>SCB5_SEL1 (0)</t>
  </si>
  <si>
    <t>PWM0_9</t>
  </si>
  <si>
    <t>PWM0_9_N</t>
  </si>
  <si>
    <t>SCB4_RX (0)</t>
  </si>
  <si>
    <t>SCB4_MISO (0)</t>
  </si>
  <si>
    <t>SCB4_TX (0)</t>
  </si>
  <si>
    <t>SCB4_SDA (0)</t>
  </si>
  <si>
    <t>SCB4_MOSI (0)</t>
  </si>
  <si>
    <t>SCB4_RTS (0)</t>
  </si>
  <si>
    <t>SCB4_SCL (0)</t>
  </si>
  <si>
    <t>SCB4_CLK (0)</t>
  </si>
  <si>
    <t>SCB4_CTS (0)</t>
  </si>
  <si>
    <t>SCB4_SEL0 (0)</t>
  </si>
  <si>
    <t>SCB4_SEL1 (0)</t>
  </si>
  <si>
    <t>PWM0_M_4</t>
  </si>
  <si>
    <t>CXPI0_RX</t>
  </si>
  <si>
    <t>PWM0_15</t>
  </si>
  <si>
    <t>PWM0_M_4_N</t>
  </si>
  <si>
    <t>CXPI0_TX</t>
  </si>
  <si>
    <t>PWM0_M_5</t>
  </si>
  <si>
    <t>PWM0_15_N</t>
  </si>
  <si>
    <t>CXPI0_EN</t>
  </si>
  <si>
    <t>PWM0_16</t>
  </si>
  <si>
    <t>PWM0_M_5_N</t>
  </si>
  <si>
    <t>PWM0_M_6</t>
  </si>
  <si>
    <t>PWM0_16_N</t>
  </si>
  <si>
    <t>PWM0_M_6_N</t>
  </si>
  <si>
    <t>PWM0_M_7</t>
  </si>
  <si>
    <t>PWM0_M_7_N</t>
  </si>
  <si>
    <t>PWM0_19</t>
  </si>
  <si>
    <t>PWM0_20</t>
  </si>
  <si>
    <t>PWM0_19_N</t>
  </si>
  <si>
    <t>PWM0_21</t>
  </si>
  <si>
    <t>PWM0_20_N</t>
  </si>
  <si>
    <t>PWM0_22</t>
  </si>
  <si>
    <t>PWM0_21_N</t>
  </si>
  <si>
    <t>PWM0_23</t>
  </si>
  <si>
    <t>PWM0_24</t>
  </si>
  <si>
    <t>PWM0_23_N</t>
  </si>
  <si>
    <t>PWM0_25</t>
  </si>
  <si>
    <t>PWM0_24_N</t>
  </si>
  <si>
    <t>PWM0_26</t>
  </si>
  <si>
    <t>PWM0_25_N</t>
  </si>
  <si>
    <t>PWM0_27</t>
  </si>
  <si>
    <t>PWM0_26_N</t>
  </si>
  <si>
    <t>PWM0_28</t>
  </si>
  <si>
    <t>PWM0_27_N</t>
  </si>
  <si>
    <t>SCB4_RX (1)</t>
  </si>
  <si>
    <t>SCB4_MISO (1)</t>
  </si>
  <si>
    <t>PWM0_29</t>
  </si>
  <si>
    <t>PWM0_28_N</t>
  </si>
  <si>
    <t>SCB4_TX (1)</t>
  </si>
  <si>
    <t>SCB4_SDA (1)</t>
  </si>
  <si>
    <t>SCB4_MOSI (1)</t>
  </si>
  <si>
    <t>PWM0_30</t>
  </si>
  <si>
    <t>PWM0_29_N</t>
  </si>
  <si>
    <t>SCB4_RTS (1)</t>
  </si>
  <si>
    <t>SCB4_SCL (1)</t>
  </si>
  <si>
    <t>SCB4_CLK (1)</t>
  </si>
  <si>
    <t>PWM0_31</t>
  </si>
  <si>
    <t>PWM0_30_N</t>
  </si>
  <si>
    <t>SCB4_CTS (1)</t>
  </si>
  <si>
    <t>SCB4_SEL0 (1)</t>
  </si>
  <si>
    <t>PWM0_32</t>
  </si>
  <si>
    <t>PWM0_31_N</t>
  </si>
  <si>
    <t>PWM0_33</t>
  </si>
  <si>
    <t>PWM0_32_N</t>
  </si>
  <si>
    <t>PWM0_33_N</t>
  </si>
  <si>
    <t>PWM0_M_8</t>
  </si>
  <si>
    <t>SCB3_RX (0)</t>
  </si>
  <si>
    <t>SCB3_MISO (0)</t>
  </si>
  <si>
    <t>CXPI1_RX</t>
  </si>
  <si>
    <t>PWM0_M_8_N</t>
  </si>
  <si>
    <t>SCB3_TX (0)</t>
  </si>
  <si>
    <t>SCB3_SDA (0)</t>
  </si>
  <si>
    <t>SCB3_MOSI (0)</t>
  </si>
  <si>
    <t>CXPI1_TX</t>
  </si>
  <si>
    <t>PWM0_M_9</t>
  </si>
  <si>
    <t>SCB3_RTS (0)</t>
  </si>
  <si>
    <t>SCB3_SCL (0)</t>
  </si>
  <si>
    <t>SCB3_CLK (0)</t>
  </si>
  <si>
    <t>CXPI1_EN</t>
  </si>
  <si>
    <t>PWM0_M_9_N</t>
  </si>
  <si>
    <t>SCB3_CTS (0)</t>
  </si>
  <si>
    <t>SCB3_SEL0 (0)</t>
  </si>
  <si>
    <t>PWM0_M_10</t>
  </si>
  <si>
    <t>SCB3_SEL1 (0)</t>
  </si>
  <si>
    <t>PWM0_M_10_N</t>
  </si>
  <si>
    <t>PWM0_M_11</t>
  </si>
  <si>
    <t>PWM0_M_11_N</t>
  </si>
  <si>
    <t>SCB2_RX (0)</t>
  </si>
  <si>
    <t>SCB2_MISO (0)</t>
  </si>
  <si>
    <t>SCB2_TX (0)</t>
  </si>
  <si>
    <t>SCB2_SDA (0)</t>
  </si>
  <si>
    <t>SCB2_MOSI (0)</t>
  </si>
  <si>
    <t>SCB2_RTS (0)</t>
  </si>
  <si>
    <t>SCB2_SCL (0)</t>
  </si>
  <si>
    <t>SCB2_CLK (0)</t>
  </si>
  <si>
    <t>SCB2_CTS (0)</t>
  </si>
  <si>
    <t>SCB2_SEL0 (0)</t>
  </si>
  <si>
    <t>SCB2_SEL1 (0)</t>
  </si>
  <si>
    <t>PWM0_H_0</t>
  </si>
  <si>
    <t>PWM0_H_0_N</t>
  </si>
  <si>
    <t>PWM0_H_1</t>
  </si>
  <si>
    <t>PWM0_H_1_N</t>
  </si>
  <si>
    <t>PWM0_H_2</t>
  </si>
  <si>
    <t>PWM0_H_2_N</t>
  </si>
  <si>
    <t>PWM0_H_3</t>
  </si>
  <si>
    <t>PWM0_H_3_N</t>
  </si>
  <si>
    <t>SCB1_RX (0)</t>
  </si>
  <si>
    <t>SCB1_MISO (0)</t>
  </si>
  <si>
    <t>SCB1_TX (0)</t>
  </si>
  <si>
    <t>SCB1_SDA (0)</t>
  </si>
  <si>
    <t>SCB1_MOSI (0)</t>
  </si>
  <si>
    <t>SCB1_RTS (0)</t>
  </si>
  <si>
    <t>SCB1_SCL (0)</t>
  </si>
  <si>
    <t>SCB1_CLK (0)</t>
  </si>
  <si>
    <t>SCB1_CTS (0)</t>
  </si>
  <si>
    <t>SCB1_SEL0 (0)</t>
  </si>
  <si>
    <t>SCB1_SEL1 (0)</t>
  </si>
  <si>
    <t>SCB2_RX (1)</t>
  </si>
  <si>
    <t>SCB2_MISO (1)</t>
  </si>
  <si>
    <t>SCB2_TX (1)</t>
  </si>
  <si>
    <t>SCB2_SDA (1)</t>
  </si>
  <si>
    <t>SCB2_MOSI (1)</t>
  </si>
  <si>
    <t>SCB2_RTS (1)</t>
  </si>
  <si>
    <t>SCB2_SCL (1)</t>
  </si>
  <si>
    <t>SCB2_CLK (1)</t>
  </si>
  <si>
    <t>SCB2_CTS (1)</t>
  </si>
  <si>
    <t>SCB2_SEL0 (1)</t>
  </si>
  <si>
    <t>SCB1_SDA (1)</t>
  </si>
  <si>
    <t>SCB1_SCL (1)</t>
  </si>
  <si>
    <t>SCB6_RX (1)</t>
  </si>
  <si>
    <t>SCB6_MISO (1)</t>
  </si>
  <si>
    <t>SCB6_TX (1)</t>
  </si>
  <si>
    <t>SCB6_SDA (1)</t>
  </si>
  <si>
    <t>SCB6_MOSI (1)</t>
  </si>
  <si>
    <t>SCB6_RTS (1)</t>
  </si>
  <si>
    <t>SCB6_SCL (1)</t>
  </si>
  <si>
    <t>SCB6_CLK (1)</t>
  </si>
  <si>
    <t>SCB6_CTS (1)</t>
  </si>
  <si>
    <t>SCB6_SEL0 (1)</t>
  </si>
  <si>
    <t>SCB6_SEL1 (1)</t>
  </si>
  <si>
    <t>SCB0_MOSI (0)</t>
  </si>
  <si>
    <t>SCB0_SCL (0)</t>
  </si>
  <si>
    <t>SCB0_CLK (0)</t>
  </si>
  <si>
    <t>SCB0_SEL0 (0)</t>
  </si>
  <si>
    <t>SCB0_SEL1 (0)</t>
  </si>
  <si>
    <t>SCB0_SEL2 (0)</t>
  </si>
  <si>
    <t>SCB0_SEL3 (0)</t>
  </si>
  <si>
    <t>ACT #15</t>
    <phoneticPr fontId="3"/>
  </si>
  <si>
    <t>HCon#22</t>
    <phoneticPr fontId="3"/>
  </si>
  <si>
    <t>Name</t>
    <phoneticPr fontId="3"/>
  </si>
  <si>
    <t>TX (0)</t>
    <phoneticPr fontId="3"/>
  </si>
  <si>
    <t>TX (1)</t>
    <phoneticPr fontId="3"/>
  </si>
  <si>
    <t>RX (0)</t>
    <phoneticPr fontId="3"/>
  </si>
  <si>
    <t>RX (1)</t>
    <phoneticPr fontId="3"/>
  </si>
  <si>
    <t>CTS (0)</t>
    <phoneticPr fontId="3"/>
  </si>
  <si>
    <t>CTS (1)</t>
    <phoneticPr fontId="3"/>
  </si>
  <si>
    <t>RTS (0)</t>
    <phoneticPr fontId="3"/>
  </si>
  <si>
    <t>RTS (1)</t>
    <phoneticPr fontId="3"/>
  </si>
  <si>
    <t>CLK (0)</t>
    <phoneticPr fontId="3"/>
  </si>
  <si>
    <t>CLK (1)</t>
    <phoneticPr fontId="3"/>
  </si>
  <si>
    <t>MOSI (0)</t>
    <phoneticPr fontId="3"/>
  </si>
  <si>
    <t>MOSI (1)</t>
    <phoneticPr fontId="3"/>
  </si>
  <si>
    <t>MISO (0)</t>
    <phoneticPr fontId="3"/>
  </si>
  <si>
    <t>MISO (1)</t>
    <phoneticPr fontId="3"/>
  </si>
  <si>
    <t>SEL0 (0)</t>
    <phoneticPr fontId="3"/>
  </si>
  <si>
    <t>SEL0 (1)</t>
    <phoneticPr fontId="3"/>
  </si>
  <si>
    <t>SEL1 (0)</t>
    <phoneticPr fontId="3"/>
  </si>
  <si>
    <t>SEL1 (1)</t>
    <phoneticPr fontId="3"/>
  </si>
  <si>
    <t>SEL2 (0)</t>
    <phoneticPr fontId="3"/>
  </si>
  <si>
    <t>SEL2 (1)</t>
    <phoneticPr fontId="3"/>
  </si>
  <si>
    <t>SEL3 (0)</t>
    <phoneticPr fontId="3"/>
  </si>
  <si>
    <t>SEL3 (1)</t>
    <phoneticPr fontId="3"/>
  </si>
  <si>
    <t>SDA (0)</t>
    <phoneticPr fontId="3"/>
  </si>
  <si>
    <t>SDA (1)</t>
    <phoneticPr fontId="3"/>
  </si>
  <si>
    <t>SCL (0)</t>
    <phoneticPr fontId="3"/>
  </si>
  <si>
    <t>SCL (1)</t>
    <phoneticPr fontId="3"/>
  </si>
  <si>
    <t>ECO_IN</t>
    <phoneticPr fontId="3"/>
  </si>
  <si>
    <t>ECO_OUT</t>
    <phoneticPr fontId="3"/>
  </si>
  <si>
    <t>Connection_1</t>
    <phoneticPr fontId="4"/>
  </si>
  <si>
    <t>Connection_2</t>
    <phoneticPr fontId="3"/>
  </si>
  <si>
    <t>SMARTIO</t>
    <phoneticPr fontId="4"/>
  </si>
  <si>
    <t>Memo</t>
    <phoneticPr fontId="4"/>
  </si>
  <si>
    <t>-</t>
    <phoneticPr fontId="3"/>
  </si>
  <si>
    <t>ID</t>
    <phoneticPr fontId="3"/>
  </si>
  <si>
    <t>SPI</t>
    <phoneticPr fontId="3"/>
  </si>
  <si>
    <t>UART</t>
    <phoneticPr fontId="3"/>
  </si>
  <si>
    <t>I2C</t>
    <phoneticPr fontId="3"/>
  </si>
  <si>
    <t>Number of counts other than 0</t>
    <phoneticPr fontId="3"/>
  </si>
  <si>
    <t>[Notices]</t>
    <phoneticPr fontId="3"/>
  </si>
  <si>
    <t xml:space="preserve">      - For any function marked with an identifier (n), the AC timing is only guaranteed within the respective group "n".</t>
    <phoneticPr fontId="3"/>
  </si>
  <si>
    <t>CXPI</t>
    <phoneticPr fontId="3"/>
  </si>
  <si>
    <t>EN</t>
    <phoneticPr fontId="3"/>
  </si>
  <si>
    <t>CXPI0</t>
    <phoneticPr fontId="3"/>
  </si>
  <si>
    <t>CXPI1</t>
  </si>
  <si>
    <t>Revision History</t>
    <phoneticPr fontId="3"/>
  </si>
  <si>
    <t>Revision</t>
    <phoneticPr fontId="3"/>
  </si>
  <si>
    <t>Issue Date</t>
    <phoneticPr fontId="3"/>
  </si>
  <si>
    <t>Description of Change</t>
    <phoneticPr fontId="3"/>
  </si>
  <si>
    <t>**</t>
    <phoneticPr fontId="3"/>
  </si>
  <si>
    <t>Initial Release</t>
    <phoneticPr fontId="3"/>
  </si>
  <si>
    <t>IMPORTANT NOTICE</t>
    <phoneticPr fontId="3"/>
  </si>
  <si>
    <t>The tool used by Infineon Technologies is not fully validated and the behavior of parameters of the products assessed by Infineon Technologies is based on assumptions only. Therefore, the assessment results shown in this document shall be regarded as an indication only and in no event as a description or warranty of a certain functionality, condition or quality of the products. Before implementation of the products, the recipient of this document must verify any function and other technical information given herein in the real application. Infineon Technologies hereby disclaims any and all warranties and liabilities of any kind (including without limitation warranties of non-infringement of intellectual property rights of any third party) with respect to any and all information given in this document. 
The data contained in this document is exclusively intended for technically trained staff. It is the responsibility of customer’s technical departments to evaluate the suitability of the products for the intended application and the completeness of the product information given in this document with respect to such application.   Please note that technical specifications of Infineon’s products are conclusively stated in the applicable Infineon data sheets.
Infineon Technologies reserves  the  right  to  make  changes  to  this  document without further notice.</t>
    <phoneticPr fontId="3"/>
  </si>
  <si>
    <t>TRACE_CLOCK</t>
  </si>
  <si>
    <t>TRACE_DATA_0</t>
  </si>
  <si>
    <t>TRACE_DATA_1</t>
  </si>
  <si>
    <t>TRACE_DATA_2</t>
  </si>
  <si>
    <t>TRACE_DATA_3</t>
  </si>
  <si>
    <t>HCon#20</t>
    <phoneticPr fontId="3"/>
  </si>
  <si>
    <t>HCon#21</t>
    <phoneticPr fontId="3"/>
  </si>
  <si>
    <t>HCon#23</t>
    <phoneticPr fontId="3"/>
  </si>
  <si>
    <t>HCon#24</t>
    <phoneticPr fontId="3"/>
  </si>
  <si>
    <t>HCon#25</t>
    <phoneticPr fontId="3"/>
  </si>
  <si>
    <t>ACT #11</t>
    <phoneticPr fontId="3"/>
  </si>
  <si>
    <t>ACT #12</t>
    <phoneticPr fontId="3"/>
  </si>
  <si>
    <t>ACT #13</t>
  </si>
  <si>
    <t>ACT #14</t>
  </si>
  <si>
    <t>PWM0_H_15_N</t>
  </si>
  <si>
    <t>TC0_H_14_TR</t>
  </si>
  <si>
    <t>TC0_H_15_TR</t>
  </si>
  <si>
    <t>TC0_H_0_TR</t>
  </si>
  <si>
    <t>TC0_H_1_TR</t>
  </si>
  <si>
    <t>P1.4</t>
  </si>
  <si>
    <t>TC0_H_2_TR</t>
  </si>
  <si>
    <t>P1.5</t>
  </si>
  <si>
    <t>TC0_H_3_TR</t>
  </si>
  <si>
    <t>P1.6</t>
  </si>
  <si>
    <t>TC0_H_4_TR</t>
  </si>
  <si>
    <t>P1.7</t>
  </si>
  <si>
    <t>TC0_H_5_TR</t>
  </si>
  <si>
    <t>PWM0_H_8</t>
  </si>
  <si>
    <t>TC0_H_6_TR</t>
  </si>
  <si>
    <t>SCB8_CLK (0)</t>
  </si>
  <si>
    <t>SCB8_RX (0)</t>
  </si>
  <si>
    <t>PWM0_H_9</t>
  </si>
  <si>
    <t>PWM0_H_8_N</t>
  </si>
  <si>
    <t>TC0_H_7_TR</t>
  </si>
  <si>
    <t>SCB8_MOSI (0)</t>
  </si>
  <si>
    <t>SCB8_TX (0)</t>
  </si>
  <si>
    <t>PWM0_H_10</t>
  </si>
  <si>
    <t>PWM0_H_9_N</t>
  </si>
  <si>
    <t>TC0_H_8_TR</t>
  </si>
  <si>
    <t>SCB8_MISO (0)</t>
  </si>
  <si>
    <t>SCB8_RTS (0)</t>
  </si>
  <si>
    <t>PWM0_H_11</t>
  </si>
  <si>
    <t>PWM0_H_10_N</t>
  </si>
  <si>
    <t>TC0_H_9_TR</t>
  </si>
  <si>
    <t>SCB8_SEL0 (0)</t>
  </si>
  <si>
    <t>SCB8_CTS (0)</t>
  </si>
  <si>
    <t>PWM0_H_12</t>
  </si>
  <si>
    <t>PWM0_H_11_N</t>
  </si>
  <si>
    <t>TC0_H_10_TR</t>
  </si>
  <si>
    <t>SCB8_SEL1 (0)</t>
  </si>
  <si>
    <t>PWM0_H_13</t>
  </si>
  <si>
    <t>PWM0_H_12_N</t>
  </si>
  <si>
    <t>TC0_H_11_TR</t>
  </si>
  <si>
    <t>P2.6</t>
  </si>
  <si>
    <t>PWM0_H_14</t>
  </si>
  <si>
    <t>PWM0_H_13_N</t>
  </si>
  <si>
    <t>TC0_H_12_TR</t>
  </si>
  <si>
    <t>P2.7</t>
  </si>
  <si>
    <t>PWM0_H_15</t>
  </si>
  <si>
    <t>PWM0_H_14_N</t>
  </si>
  <si>
    <t>TC0_H_13_TR</t>
  </si>
  <si>
    <t>TC0_32_TR</t>
  </si>
  <si>
    <t>SCB8_CLK (1)</t>
  </si>
  <si>
    <t>SCB8_RX (1)</t>
  </si>
  <si>
    <t>TC0_33_TR</t>
  </si>
  <si>
    <t>SCB8_MOSI (1)</t>
  </si>
  <si>
    <t>SCB8_TX (1)</t>
  </si>
  <si>
    <t>TC0_24_TR</t>
  </si>
  <si>
    <t>SCB8_MISO (1)</t>
  </si>
  <si>
    <t>SCB8_RTS (1)</t>
  </si>
  <si>
    <t>TC0_25_TR</t>
  </si>
  <si>
    <t>SCB8_SEL0 (1)</t>
  </si>
  <si>
    <t>SCB8_CTS (1)</t>
  </si>
  <si>
    <t>TC0_26_TR</t>
  </si>
  <si>
    <t>TC0_27_TR</t>
  </si>
  <si>
    <t>TC0_28_TR</t>
  </si>
  <si>
    <t>TC0_29_TR</t>
  </si>
  <si>
    <t>TC0_30_TR</t>
  </si>
  <si>
    <t>TC0_31_TR</t>
  </si>
  <si>
    <t>P4.5</t>
  </si>
  <si>
    <t>P4.6</t>
  </si>
  <si>
    <t>P4.7</t>
  </si>
  <si>
    <t>SCB9_CLK (0)</t>
  </si>
  <si>
    <t>SCB9_RX (0)</t>
  </si>
  <si>
    <t>SCB9_MOSI (0)</t>
  </si>
  <si>
    <t>SCB9_TX (0)</t>
  </si>
  <si>
    <t>SCB9_MISO (0)</t>
  </si>
  <si>
    <t>SCB9_RTS (0)</t>
  </si>
  <si>
    <t>SCB9_SEL0 (0)</t>
  </si>
  <si>
    <t>SCB9_CTS (0)</t>
  </si>
  <si>
    <t>SCB9_SEL1 (0)</t>
  </si>
  <si>
    <t>P5.6</t>
  </si>
  <si>
    <t>P5.7</t>
  </si>
  <si>
    <t>SG_TONE[0] (2)</t>
  </si>
  <si>
    <t>SG_AMPL[0] (2)</t>
  </si>
  <si>
    <t>SG_TONE[1] (2)</t>
  </si>
  <si>
    <t>SG_AMPL[1] (2)</t>
  </si>
  <si>
    <t>SG_TONE[2] (2)</t>
  </si>
  <si>
    <t>SG_AMPL[2] (2)</t>
  </si>
  <si>
    <t>SG_TONE[3] (2)</t>
  </si>
  <si>
    <t>SG_AMPL[3] (2)</t>
  </si>
  <si>
    <t>SG_AMPL[4] (2)</t>
  </si>
  <si>
    <t>SG_TONE[4] (2)</t>
  </si>
  <si>
    <t>SG_MCK[0] (2)</t>
  </si>
  <si>
    <t>SG_MCK[1] (2)</t>
  </si>
  <si>
    <t>SG_MCK[2] (2)</t>
  </si>
  <si>
    <t>SG_MCK[3] (2)</t>
  </si>
  <si>
    <t>SG_MCK[4] (2)</t>
  </si>
  <si>
    <t>SCB10_CLK (0)</t>
  </si>
  <si>
    <t>SCB10_RX (0)</t>
  </si>
  <si>
    <t>SPIHB_SELECT1</t>
  </si>
  <si>
    <t>SCB10_MOSI (0)</t>
  </si>
  <si>
    <t>SCB10_TX (0)</t>
  </si>
  <si>
    <t>SPIHB_SELECT0</t>
  </si>
  <si>
    <t>SCB10_MISO (0)</t>
  </si>
  <si>
    <t>SCB10_RTS (0)</t>
  </si>
  <si>
    <t>SCB10_SEL0 (0)</t>
  </si>
  <si>
    <t>SCB10_CTS (0)</t>
  </si>
  <si>
    <t>SPIHB_DATA6</t>
  </si>
  <si>
    <t>SCB10_SEL1 (0)</t>
  </si>
  <si>
    <t>SPIHB_DATA5</t>
  </si>
  <si>
    <t>P8.5</t>
  </si>
  <si>
    <t>SPIHB_DATA4</t>
  </si>
  <si>
    <t>P8.6</t>
  </si>
  <si>
    <t>SCB11_CLK (0)</t>
  </si>
  <si>
    <t>SCB11_RX (0)</t>
  </si>
  <si>
    <t>SPIHB_DATA3</t>
  </si>
  <si>
    <t>P8.7</t>
  </si>
  <si>
    <t>SCB11_MOSI (0)</t>
  </si>
  <si>
    <t>SCB11_TX (0)</t>
  </si>
  <si>
    <t>SPIHB_DATA2</t>
  </si>
  <si>
    <t>SCB11_MISO (0)</t>
  </si>
  <si>
    <t>SCB11_RTS (0)</t>
  </si>
  <si>
    <t>SPIHB_DATA1</t>
  </si>
  <si>
    <t>SCB11_SEL0 (0)</t>
  </si>
  <si>
    <t>SCB11_CTS (0)</t>
  </si>
  <si>
    <t>SPIHB_DATA0</t>
  </si>
  <si>
    <t>SCB11_SEL1 (0)</t>
  </si>
  <si>
    <t>SPIHB_CLK</t>
  </si>
  <si>
    <t>SPIHB_RWDS</t>
  </si>
  <si>
    <t>IO_CLK_HF[2]</t>
    <phoneticPr fontId="3"/>
  </si>
  <si>
    <t>SG_TONE[0] (1)</t>
  </si>
  <si>
    <t>SG_AMPL[0] (1)</t>
  </si>
  <si>
    <t>SG_MCK[0] (1)</t>
  </si>
  <si>
    <t>SG_TONE[1] (1)</t>
  </si>
  <si>
    <t>SG_AMPL[1] (1)</t>
  </si>
  <si>
    <t>SG_MCK[1] (1)</t>
  </si>
  <si>
    <t>P11.1</t>
  </si>
  <si>
    <t>P11.2</t>
  </si>
  <si>
    <t>P11.3</t>
  </si>
  <si>
    <t>P11.4</t>
  </si>
  <si>
    <t>P11.5</t>
  </si>
  <si>
    <t>SG_TONE[2] (1)</t>
  </si>
  <si>
    <t>P11.6</t>
  </si>
  <si>
    <t>SG_AMPL[2] (1)</t>
  </si>
  <si>
    <t>TDM_TX_MCK[0] (0)</t>
    <phoneticPr fontId="3"/>
  </si>
  <si>
    <t>TDM_RX_MCK[1] (0)</t>
    <phoneticPr fontId="3"/>
  </si>
  <si>
    <t>TDM_TX_SCK[0] (0)</t>
    <phoneticPr fontId="3"/>
  </si>
  <si>
    <t>TDM_RX_SCK[1] (0)</t>
    <phoneticPr fontId="3"/>
  </si>
  <si>
    <t>TDM_TX_SD[0] (0)</t>
    <phoneticPr fontId="3"/>
  </si>
  <si>
    <t>P11.7</t>
  </si>
  <si>
    <t>SG_MCK[2] (1)</t>
  </si>
  <si>
    <t>SG_TONE[0] (0)</t>
  </si>
  <si>
    <t>SG_AMPL[0] (0)</t>
  </si>
  <si>
    <t>SG_MCK[0] (0)</t>
  </si>
  <si>
    <t>SG_TONE[1] (0)</t>
  </si>
  <si>
    <t>SG_AMPL[1] (0)</t>
  </si>
  <si>
    <t>SG_MCK[1] (0)</t>
  </si>
  <si>
    <t>SG_TONE[2] (0)</t>
  </si>
  <si>
    <t>PWM_MCK[0] (1)</t>
  </si>
  <si>
    <t>SG_AMPL[2] (0)</t>
  </si>
  <si>
    <t>SCB10_SDA (1)</t>
  </si>
  <si>
    <t>PWM_MCK[1] (1)</t>
  </si>
  <si>
    <t>SG_MCK[2] (0)</t>
  </si>
  <si>
    <t>SCB10_SCL (1)</t>
  </si>
  <si>
    <t>SG_TONE[3] (1)</t>
  </si>
  <si>
    <t>SCB11_SDA (1)</t>
  </si>
  <si>
    <t>SG_AMPL[3] (1)</t>
  </si>
  <si>
    <t>SCB11_SCL (1)</t>
  </si>
  <si>
    <t>TDM_TX_MCK[1] (0)</t>
    <phoneticPr fontId="3"/>
  </si>
  <si>
    <t>TDM_RX_MCK[0] (0)</t>
    <phoneticPr fontId="3"/>
  </si>
  <si>
    <t>TDM_TX_SCK[1] (0)</t>
    <phoneticPr fontId="3"/>
  </si>
  <si>
    <t>TDM_RX_SCK[0] (0)</t>
    <phoneticPr fontId="3"/>
  </si>
  <si>
    <t>TDM_TX_SD[1] (0)</t>
    <phoneticPr fontId="3"/>
  </si>
  <si>
    <t>TDM_TX_MCK[0] (1)</t>
    <phoneticPr fontId="3"/>
  </si>
  <si>
    <t>TDM_RX_MCK[1] (1)</t>
    <phoneticPr fontId="3"/>
  </si>
  <si>
    <t>PWM_LINE1_P[0] (1)</t>
    <phoneticPr fontId="3"/>
  </si>
  <si>
    <t>PWM_LINE1_N[0] (1)</t>
    <phoneticPr fontId="3"/>
  </si>
  <si>
    <t>TDM_TX_SCK[0] (1)</t>
    <phoneticPr fontId="3"/>
  </si>
  <si>
    <t>TDM_RX_SCK[1] (1)</t>
    <phoneticPr fontId="3"/>
  </si>
  <si>
    <t>PWM_LINE2_P[0] (1)</t>
    <phoneticPr fontId="3"/>
  </si>
  <si>
    <t>PWM_LINE2_N[0] (1)</t>
    <phoneticPr fontId="3"/>
  </si>
  <si>
    <t>TDM_TX_SD[0] (1)</t>
    <phoneticPr fontId="3"/>
  </si>
  <si>
    <t>SG_MCK[3] (1)</t>
  </si>
  <si>
    <t>P15.4</t>
  </si>
  <si>
    <t>P15.5</t>
  </si>
  <si>
    <t>SG_TONE[4] (1)</t>
  </si>
  <si>
    <t>TDM_TX_MCK[1] (1)</t>
    <phoneticPr fontId="3"/>
  </si>
  <si>
    <t>TDM_RX_MCK[0] (1)</t>
    <phoneticPr fontId="3"/>
  </si>
  <si>
    <t>PWM_LINE1_P[1] (1)</t>
    <phoneticPr fontId="3"/>
  </si>
  <si>
    <t>TDM_TX_SCK[1] (1)</t>
    <phoneticPr fontId="3"/>
  </si>
  <si>
    <t>TDM_RX_SCK[0] (1)</t>
    <phoneticPr fontId="3"/>
  </si>
  <si>
    <t>PWM_LINE1_N[1] (1)</t>
    <phoneticPr fontId="3"/>
  </si>
  <si>
    <t>PWM_LINE2_P[1] (1)</t>
    <phoneticPr fontId="3"/>
  </si>
  <si>
    <t>TDM_TX_SD[1] (1)</t>
    <phoneticPr fontId="3"/>
  </si>
  <si>
    <t>PWM_LINE2_N[1] (1)</t>
    <phoneticPr fontId="3"/>
  </si>
  <si>
    <t>P15.6</t>
  </si>
  <si>
    <t>SG_AMPL[4] (1)</t>
  </si>
  <si>
    <t>P15.7</t>
  </si>
  <si>
    <t>SG_MCK[4] (1)</t>
  </si>
  <si>
    <t>P16.4</t>
  </si>
  <si>
    <t>PWM_MCK[0] (0)</t>
  </si>
  <si>
    <t>SG_MCK[3] (0)</t>
  </si>
  <si>
    <t>P16.5</t>
  </si>
  <si>
    <t>SG_MCK[4] (0)</t>
  </si>
  <si>
    <t>PWM_LINE1_P[0] (0)</t>
    <phoneticPr fontId="3"/>
  </si>
  <si>
    <t>PWM_LINE1_N[0] (0)</t>
    <phoneticPr fontId="3"/>
  </si>
  <si>
    <t>PWM_LINE2_P[0] (0)</t>
    <phoneticPr fontId="3"/>
  </si>
  <si>
    <t>PWM_LINE2_N[0] (0)</t>
    <phoneticPr fontId="3"/>
  </si>
  <si>
    <t>TC0_20_TR</t>
  </si>
  <si>
    <t>TC0_21_TR</t>
  </si>
  <si>
    <t>TC0_22_TR</t>
  </si>
  <si>
    <t>TC0_23_TR</t>
  </si>
  <si>
    <t>PWM_MCK[1] (0)</t>
  </si>
  <si>
    <t>SG_TONE[3] (0)</t>
  </si>
  <si>
    <t>SG_AMPL[3] (0)</t>
  </si>
  <si>
    <t>SG_TONE[4] (0)</t>
  </si>
  <si>
    <t>SG_AMPL[4] (0)</t>
  </si>
  <si>
    <t>PWM_LINE1_N[1] (0)</t>
    <phoneticPr fontId="3"/>
  </si>
  <si>
    <t>PWM_LINE2_P[1] (0)</t>
    <phoneticPr fontId="3"/>
  </si>
  <si>
    <t>PWM_LINE2_N[1] (0)</t>
    <phoneticPr fontId="3"/>
  </si>
  <si>
    <t>P19.5</t>
  </si>
  <si>
    <t>P19.6</t>
  </si>
  <si>
    <t>HCon#12</t>
    <phoneticPr fontId="3"/>
  </si>
  <si>
    <t>HCon#15</t>
  </si>
  <si>
    <t>HCon#29</t>
    <phoneticPr fontId="3"/>
  </si>
  <si>
    <t>DS #3</t>
  </si>
  <si>
    <t>DS #5</t>
    <phoneticPr fontId="3"/>
  </si>
  <si>
    <t>SWJ_TRSTN</t>
    <phoneticPr fontId="3"/>
  </si>
  <si>
    <t>LCD_SEG_0</t>
  </si>
  <si>
    <t>LCD_COM_0</t>
  </si>
  <si>
    <t>LCD_SEG_1</t>
  </si>
  <si>
    <t>LCD_COM_1</t>
  </si>
  <si>
    <t>LCD_SEG_2</t>
  </si>
  <si>
    <t>LCD_COM_2</t>
  </si>
  <si>
    <t>LCD_SEG_3</t>
  </si>
  <si>
    <t>LCD_COM_3</t>
  </si>
  <si>
    <t>LCD_SEG_4</t>
  </si>
  <si>
    <t>LCD_COM_4</t>
  </si>
  <si>
    <t>LCD_SEG_5</t>
  </si>
  <si>
    <t>LCD_COM_5</t>
  </si>
  <si>
    <t>LCD_SEG_6</t>
  </si>
  <si>
    <t>LCD_COM_6</t>
  </si>
  <si>
    <t>LCD_SEG_7</t>
  </si>
  <si>
    <t>LCD_COM_7</t>
  </si>
  <si>
    <t>LCD_SEG_8</t>
  </si>
  <si>
    <t>LCD_COM_8</t>
  </si>
  <si>
    <t>LCD_SEG_9</t>
  </si>
  <si>
    <t>LCD_COM_9</t>
  </si>
  <si>
    <t>LCD_SEG_12</t>
  </si>
  <si>
    <t>LCD_COM_12</t>
  </si>
  <si>
    <t>LCD_SEG_13</t>
  </si>
  <si>
    <t>LCD_COM_13</t>
  </si>
  <si>
    <t>LCD_SEG_14</t>
  </si>
  <si>
    <t>LCD_COM_14</t>
  </si>
  <si>
    <t>LCD_SEG_10</t>
  </si>
  <si>
    <t>LCD_COM_10</t>
  </si>
  <si>
    <t>LCD_SEG_11</t>
  </si>
  <si>
    <t>LCD_COM_11</t>
  </si>
  <si>
    <t>LCD_SEG_15</t>
  </si>
  <si>
    <t>LCD_COM_15</t>
  </si>
  <si>
    <t>LCD_SEG_16</t>
  </si>
  <si>
    <t>LCD_COM_16</t>
  </si>
  <si>
    <t>LCD_SEG_17</t>
  </si>
  <si>
    <t>LCD_COM_17</t>
  </si>
  <si>
    <t>LCD_SEG_18</t>
  </si>
  <si>
    <t>LCD_COM_18</t>
  </si>
  <si>
    <t>LCD_SEG_19</t>
  </si>
  <si>
    <t>LCD_COM_19</t>
  </si>
  <si>
    <t>LCD_SEG_20</t>
  </si>
  <si>
    <t>LCD_COM_20</t>
  </si>
  <si>
    <t>LCD_SEG_21</t>
  </si>
  <si>
    <t>LCD_COM_21</t>
  </si>
  <si>
    <t>LCD_SEG_22</t>
  </si>
  <si>
    <t>LCD_COM_22</t>
  </si>
  <si>
    <t>LCD_SEG_23</t>
  </si>
  <si>
    <t>LCD_COM_23</t>
  </si>
  <si>
    <t>LCD_SEG_24</t>
  </si>
  <si>
    <t>LCD_COM_24</t>
  </si>
  <si>
    <t>LCD_SEG_25</t>
  </si>
  <si>
    <t>LCD_COM_25</t>
  </si>
  <si>
    <t>LCD_SEG_26</t>
  </si>
  <si>
    <t>LCD_COM_26</t>
  </si>
  <si>
    <t>LCD_SEG_27</t>
  </si>
  <si>
    <t>LCD_COM_27</t>
  </si>
  <si>
    <t>LCD_SEG_28</t>
  </si>
  <si>
    <t>LCD_COM_28</t>
  </si>
  <si>
    <t>LCD_SEG_29</t>
  </si>
  <si>
    <t>LCD_COM_29</t>
  </si>
  <si>
    <t>LCD_SEG_30</t>
  </si>
  <si>
    <t>LCD_COM_30</t>
  </si>
  <si>
    <t>LCD_SEG_31</t>
  </si>
  <si>
    <t>LCD_COM_31</t>
  </si>
  <si>
    <t>LCD_SEG_32</t>
  </si>
  <si>
    <t>LCD_COM_32</t>
  </si>
  <si>
    <t>LCD_SEG_33</t>
  </si>
  <si>
    <t>LCD_COM_33</t>
  </si>
  <si>
    <t>LCD_SEG_34</t>
  </si>
  <si>
    <t>LCD_COM_34</t>
  </si>
  <si>
    <t>LCD_SEG_35</t>
  </si>
  <si>
    <t>LCD_COM_35</t>
  </si>
  <si>
    <t>HIBERNATE_WAKEUP[2]</t>
  </si>
  <si>
    <t>HIBERNATE_WAKEUP[3]</t>
    <phoneticPr fontId="3"/>
  </si>
  <si>
    <t>SCB7_SDA (0)</t>
    <phoneticPr fontId="3"/>
  </si>
  <si>
    <t>SCB8_SDA (0)</t>
  </si>
  <si>
    <t>SCB8_SCL (0)</t>
  </si>
  <si>
    <t>SCB8_SDA (1)</t>
  </si>
  <si>
    <t>SCB8_SCL (1)</t>
  </si>
  <si>
    <t>SCB9_SDA (0)</t>
  </si>
  <si>
    <t>SCB9_SCL (0)</t>
  </si>
  <si>
    <t>SCB10_SDA (0)</t>
  </si>
  <si>
    <t>SCB10_SCL (0)</t>
  </si>
  <si>
    <t>SCB11_SDA (0)</t>
  </si>
  <si>
    <t>SCB11_SCL (0)</t>
  </si>
  <si>
    <t>TRIG_IN[29]</t>
    <phoneticPr fontId="3"/>
  </si>
  <si>
    <t>TDM_TX_FSYNC[0] (1)</t>
    <phoneticPr fontId="3"/>
  </si>
  <si>
    <t>TDM_TX_FSYNC[1] (0)</t>
    <phoneticPr fontId="3"/>
  </si>
  <si>
    <t xml:space="preserve">TDM_RX_SD[1] (0) </t>
    <phoneticPr fontId="3"/>
  </si>
  <si>
    <t>TDM_RX_FSYNC[1] (0)</t>
    <phoneticPr fontId="3"/>
  </si>
  <si>
    <t>TDM_RX_FSYNC[0] (0)</t>
    <phoneticPr fontId="3"/>
  </si>
  <si>
    <t>TDM_RX_FSYNC[1] (1)</t>
    <phoneticPr fontId="3"/>
  </si>
  <si>
    <t>TDM_RX_FSYNC[0] (1)</t>
    <phoneticPr fontId="3"/>
  </si>
  <si>
    <t xml:space="preserve">TDM_RX_SD[0] (1) </t>
    <phoneticPr fontId="3"/>
  </si>
  <si>
    <t xml:space="preserve">TDM_TX_FSYNC[1] (1) </t>
    <phoneticPr fontId="3"/>
  </si>
  <si>
    <t>VSSIO_HSIO</t>
    <phoneticPr fontId="3"/>
  </si>
  <si>
    <t>VDDIO_HSIO</t>
    <phoneticPr fontId="3"/>
  </si>
  <si>
    <t>VDDA_ADC</t>
    <phoneticPr fontId="3"/>
  </si>
  <si>
    <t>VSSA_ADC</t>
    <phoneticPr fontId="3"/>
  </si>
  <si>
    <t>VSSIO_SMC</t>
    <phoneticPr fontId="3"/>
  </si>
  <si>
    <t>VDDIO_SMC</t>
    <phoneticPr fontId="3"/>
  </si>
  <si>
    <t>P7.0</t>
    <phoneticPr fontId="3"/>
  </si>
  <si>
    <t>P8.0</t>
    <phoneticPr fontId="3"/>
  </si>
  <si>
    <t>P8.4</t>
    <phoneticPr fontId="3"/>
  </si>
  <si>
    <t>P9.0</t>
    <phoneticPr fontId="3"/>
  </si>
  <si>
    <t>P10.0</t>
    <phoneticPr fontId="3"/>
  </si>
  <si>
    <t>P11.0</t>
    <phoneticPr fontId="3"/>
  </si>
  <si>
    <t>P12.0</t>
    <phoneticPr fontId="3"/>
  </si>
  <si>
    <t>P13.0</t>
    <phoneticPr fontId="3"/>
  </si>
  <si>
    <t>P14.0</t>
    <phoneticPr fontId="3"/>
  </si>
  <si>
    <t>P15.0</t>
    <phoneticPr fontId="3"/>
  </si>
  <si>
    <t>P16.0</t>
    <phoneticPr fontId="3"/>
  </si>
  <si>
    <t>P17.0</t>
    <phoneticPr fontId="3"/>
  </si>
  <si>
    <t>P18.0</t>
    <phoneticPr fontId="3"/>
  </si>
  <si>
    <t>P18.6</t>
    <phoneticPr fontId="3"/>
  </si>
  <si>
    <t>P19.0</t>
    <phoneticPr fontId="3"/>
  </si>
  <si>
    <t>P0.0</t>
    <phoneticPr fontId="3"/>
  </si>
  <si>
    <t>P1.0</t>
    <phoneticPr fontId="3"/>
  </si>
  <si>
    <t>P2.0</t>
    <phoneticPr fontId="3"/>
  </si>
  <si>
    <t>P3.0</t>
    <phoneticPr fontId="3"/>
  </si>
  <si>
    <t>P3.4</t>
    <phoneticPr fontId="3"/>
  </si>
  <si>
    <t>P4.0</t>
    <phoneticPr fontId="3"/>
  </si>
  <si>
    <t>P5.0</t>
    <phoneticPr fontId="3"/>
  </si>
  <si>
    <t>P6.0</t>
    <phoneticPr fontId="3"/>
  </si>
  <si>
    <t>ACT #11</t>
    <phoneticPr fontId="3"/>
  </si>
  <si>
    <t>HCon#25</t>
    <phoneticPr fontId="3"/>
  </si>
  <si>
    <t>HCon#20</t>
    <phoneticPr fontId="3"/>
  </si>
  <si>
    <t>HCon#21</t>
    <phoneticPr fontId="3"/>
  </si>
  <si>
    <t>HCon#22</t>
    <phoneticPr fontId="3"/>
  </si>
  <si>
    <t>HCon#24</t>
    <phoneticPr fontId="3"/>
  </si>
  <si>
    <t>HCon#12</t>
    <phoneticPr fontId="3"/>
  </si>
  <si>
    <t>HCon#13</t>
    <phoneticPr fontId="3"/>
  </si>
  <si>
    <t>HCon#29</t>
    <phoneticPr fontId="3"/>
  </si>
  <si>
    <t>DS #5</t>
    <phoneticPr fontId="3"/>
  </si>
  <si>
    <t>Analog/HV</t>
    <phoneticPr fontId="3"/>
  </si>
  <si>
    <t>HSIO_STDLN ground</t>
    <phoneticPr fontId="3"/>
  </si>
  <si>
    <t>Supply for HSIO_STDLN (3.0 - 3.6 V)</t>
    <phoneticPr fontId="3"/>
  </si>
  <si>
    <t>Main regulated supply</t>
    <phoneticPr fontId="3"/>
  </si>
  <si>
    <t>Active low external reset input</t>
    <phoneticPr fontId="3"/>
  </si>
  <si>
    <t>High reference voltage for SAR</t>
    <phoneticPr fontId="3"/>
  </si>
  <si>
    <t>Main analog supply</t>
    <phoneticPr fontId="3"/>
  </si>
  <si>
    <t>Main analog ground</t>
    <phoneticPr fontId="3"/>
  </si>
  <si>
    <t>VDDIO_GPIO</t>
    <phoneticPr fontId="3"/>
  </si>
  <si>
    <t>Supply for GPIO_STD (2.7 - 5.5 V)</t>
    <phoneticPr fontId="3"/>
  </si>
  <si>
    <t>Main digital ground</t>
    <phoneticPr fontId="3"/>
  </si>
  <si>
    <t>Supply for GPIO_SMC (2.7 - 5.5 V)</t>
    <phoneticPr fontId="3"/>
  </si>
  <si>
    <t>GPIO_SMC ground</t>
    <phoneticPr fontId="3"/>
  </si>
  <si>
    <t>HSIO_STDLN</t>
    <phoneticPr fontId="3"/>
  </si>
  <si>
    <t>GPIO_STD</t>
    <phoneticPr fontId="3"/>
  </si>
  <si>
    <t>GPIO_ENH</t>
    <phoneticPr fontId="3"/>
  </si>
  <si>
    <t>GPIO_SMC</t>
    <phoneticPr fontId="3"/>
  </si>
  <si>
    <t>VDDD</t>
    <phoneticPr fontId="3"/>
  </si>
  <si>
    <t>VDDIO_GPIO</t>
    <phoneticPr fontId="3"/>
  </si>
  <si>
    <t>VDDIO_SMC</t>
    <phoneticPr fontId="3"/>
  </si>
  <si>
    <t>VDDIO_HSIO</t>
    <phoneticPr fontId="3"/>
  </si>
  <si>
    <t>*1: Check the followings.</t>
    <phoneticPr fontId="3"/>
  </si>
  <si>
    <t>EXT_MUX[0]_0</t>
    <phoneticPr fontId="3"/>
  </si>
  <si>
    <t>(TDM/LIN)</t>
    <phoneticPr fontId="3"/>
  </si>
  <si>
    <t>(TDM/CXPI)</t>
    <phoneticPr fontId="3"/>
  </si>
  <si>
    <t>(CAN)</t>
    <phoneticPr fontId="3"/>
  </si>
  <si>
    <t>(SG)</t>
    <phoneticPr fontId="3"/>
  </si>
  <si>
    <t>(SPI)</t>
  </si>
  <si>
    <t>(UART)</t>
  </si>
  <si>
    <t>(I2C)</t>
  </si>
  <si>
    <t>SPIHB_DATA7</t>
    <phoneticPr fontId="3"/>
  </si>
  <si>
    <t>(SMIF)</t>
    <phoneticPr fontId="3"/>
  </si>
  <si>
    <t>(LCD)</t>
    <phoneticPr fontId="3"/>
  </si>
  <si>
    <t>SCB0_MISO (0)</t>
    <phoneticPr fontId="3"/>
  </si>
  <si>
    <t>SCB0_SDA (0)</t>
    <phoneticPr fontId="3"/>
  </si>
  <si>
    <t>SCB8</t>
  </si>
  <si>
    <t>SCB9</t>
  </si>
  <si>
    <t>SCB10</t>
  </si>
  <si>
    <t>SCB11</t>
  </si>
  <si>
    <t>TX (1)</t>
  </si>
  <si>
    <t>RX (1)</t>
  </si>
  <si>
    <t>CTS (1)</t>
  </si>
  <si>
    <t>RTS (1)</t>
  </si>
  <si>
    <t>P8.0</t>
    <phoneticPr fontId="3"/>
  </si>
  <si>
    <t>P8.4</t>
    <phoneticPr fontId="3"/>
  </si>
  <si>
    <t>P9.0</t>
    <phoneticPr fontId="3"/>
  </si>
  <si>
    <t>P11.0</t>
    <phoneticPr fontId="3"/>
  </si>
  <si>
    <t>P12.0</t>
    <phoneticPr fontId="3"/>
  </si>
  <si>
    <t>P13.0</t>
    <phoneticPr fontId="3"/>
  </si>
  <si>
    <t>P14.0</t>
    <phoneticPr fontId="3"/>
  </si>
  <si>
    <t>P15.0</t>
    <phoneticPr fontId="3"/>
  </si>
  <si>
    <t>P16.0</t>
    <phoneticPr fontId="3"/>
  </si>
  <si>
    <t>P18.0</t>
    <phoneticPr fontId="3"/>
  </si>
  <si>
    <t>P19.0</t>
    <phoneticPr fontId="3"/>
  </si>
  <si>
    <t>P0.0</t>
    <phoneticPr fontId="3"/>
  </si>
  <si>
    <t>P1.0</t>
    <phoneticPr fontId="3"/>
  </si>
  <si>
    <t>P2.0</t>
    <phoneticPr fontId="3"/>
  </si>
  <si>
    <t>P3.0</t>
    <phoneticPr fontId="3"/>
  </si>
  <si>
    <t>P5.0</t>
    <phoneticPr fontId="3"/>
  </si>
  <si>
    <t>P7.0</t>
    <phoneticPr fontId="3"/>
  </si>
  <si>
    <t>EXT_MUX[0]_1</t>
    <phoneticPr fontId="3"/>
  </si>
  <si>
    <t>Number of pins used
for trigger input</t>
    <phoneticPr fontId="3"/>
  </si>
  <si>
    <t>Number of pins used
for trigger</t>
    <phoneticPr fontId="3"/>
  </si>
  <si>
    <t>TR</t>
    <phoneticPr fontId="3"/>
  </si>
  <si>
    <t>PWM_LINE1_P[1] (0)</t>
    <phoneticPr fontId="3"/>
  </si>
  <si>
    <t>(PCM-PWM)</t>
    <phoneticPr fontId="3"/>
  </si>
  <si>
    <t>TDM</t>
    <phoneticPr fontId="3"/>
  </si>
  <si>
    <t>TDM0</t>
    <phoneticPr fontId="3"/>
  </si>
  <si>
    <t>TDM_TX_FSYNC[0] (0)</t>
    <phoneticPr fontId="3"/>
  </si>
  <si>
    <t>PCM-PWM</t>
    <phoneticPr fontId="3"/>
  </si>
  <si>
    <t>Sound generator</t>
    <phoneticPr fontId="3"/>
  </si>
  <si>
    <t>SG0</t>
    <phoneticPr fontId="3"/>
  </si>
  <si>
    <t>SG1</t>
  </si>
  <si>
    <t>SG2</t>
  </si>
  <si>
    <t>SG3</t>
  </si>
  <si>
    <t>SG4</t>
  </si>
  <si>
    <t>LCD_SEG_0</t>
    <phoneticPr fontId="3"/>
  </si>
  <si>
    <t>PWM0</t>
    <phoneticPr fontId="3"/>
  </si>
  <si>
    <t>PWM1</t>
    <phoneticPr fontId="3"/>
  </si>
  <si>
    <t>PWM_MCK[0] (1)</t>
    <phoneticPr fontId="3"/>
  </si>
  <si>
    <t>TDM1</t>
    <phoneticPr fontId="3"/>
  </si>
  <si>
    <t>LPECO_IN</t>
    <phoneticPr fontId="3"/>
  </si>
  <si>
    <t>LPECO_OUT</t>
    <phoneticPr fontId="3"/>
  </si>
  <si>
    <t>WCO_IN</t>
    <phoneticPr fontId="3"/>
  </si>
  <si>
    <t>WCO_OUT</t>
    <phoneticPr fontId="3"/>
  </si>
  <si>
    <t>TDM_RX_SD[1] (1)</t>
    <phoneticPr fontId="3"/>
  </si>
  <si>
    <t>ADC[0]_7</t>
    <phoneticPr fontId="3"/>
  </si>
  <si>
    <t>HIBERNATE_WAKEUP[0]</t>
    <phoneticPr fontId="3"/>
  </si>
  <si>
    <t>SCB11_MISO (0)</t>
    <phoneticPr fontId="3"/>
  </si>
  <si>
    <t>FAULT_OUT_0</t>
    <phoneticPr fontId="3"/>
  </si>
  <si>
    <t>FAULT_OUT_1</t>
    <phoneticPr fontId="3"/>
  </si>
  <si>
    <t>FAULT_OUT_2</t>
    <phoneticPr fontId="3"/>
  </si>
  <si>
    <t>FAULT_OUT_3</t>
    <phoneticPr fontId="3"/>
  </si>
  <si>
    <t>FAULT_OUT_2</t>
    <phoneticPr fontId="3"/>
  </si>
  <si>
    <t>TCPWM_16bit for SMC (Group1)</t>
    <phoneticPr fontId="3"/>
  </si>
  <si>
    <t>TCPWM_32bit (Group2)</t>
    <phoneticPr fontId="3"/>
  </si>
  <si>
    <t>TDM_RX_SD[0] (0)</t>
    <phoneticPr fontId="3"/>
  </si>
  <si>
    <t>RX_FSYNC (0)</t>
    <phoneticPr fontId="3"/>
  </si>
  <si>
    <t>RX_FSYNC (1)</t>
    <phoneticPr fontId="3"/>
  </si>
  <si>
    <t>RX_MCK (0)</t>
    <phoneticPr fontId="3"/>
  </si>
  <si>
    <t>RX_MCK (1)</t>
    <phoneticPr fontId="3"/>
  </si>
  <si>
    <t>RX_SCK (0)</t>
    <phoneticPr fontId="3"/>
  </si>
  <si>
    <t>RX_SCK (1)</t>
    <phoneticPr fontId="3"/>
  </si>
  <si>
    <t>RX_SD (0)</t>
    <phoneticPr fontId="3"/>
  </si>
  <si>
    <t>RX_SD (1)</t>
    <phoneticPr fontId="3"/>
  </si>
  <si>
    <t>TX_FSYNC (0)</t>
    <phoneticPr fontId="3"/>
  </si>
  <si>
    <t>TX_FSYNC (1)</t>
    <phoneticPr fontId="3"/>
  </si>
  <si>
    <t>TX_MCK (0)</t>
    <phoneticPr fontId="3"/>
  </si>
  <si>
    <t>TX_MCK (1)</t>
    <phoneticPr fontId="3"/>
  </si>
  <si>
    <t>TX_SCK (0)</t>
    <phoneticPr fontId="3"/>
  </si>
  <si>
    <t>TX_SCK (1)</t>
    <phoneticPr fontId="3"/>
  </si>
  <si>
    <t>TX_SD (0)</t>
    <phoneticPr fontId="3"/>
  </si>
  <si>
    <t>TX_SD (1)</t>
    <phoneticPr fontId="3"/>
  </si>
  <si>
    <t>MCK (0)</t>
    <phoneticPr fontId="3"/>
  </si>
  <si>
    <t>MCK (1)</t>
    <phoneticPr fontId="3"/>
  </si>
  <si>
    <t>LINE1_P (0)</t>
    <phoneticPr fontId="3"/>
  </si>
  <si>
    <t>LINE1_P (1)</t>
    <phoneticPr fontId="3"/>
  </si>
  <si>
    <t>LINE1_N (0)</t>
    <phoneticPr fontId="3"/>
  </si>
  <si>
    <t>LINE1_N (1)</t>
    <phoneticPr fontId="3"/>
  </si>
  <si>
    <t>LINE2_P (0)</t>
    <phoneticPr fontId="3"/>
  </si>
  <si>
    <t>LINE2_P (1)</t>
    <phoneticPr fontId="3"/>
  </si>
  <si>
    <t>LINE2_N (0)</t>
    <phoneticPr fontId="3"/>
  </si>
  <si>
    <t>LINE2_N (1)</t>
    <phoneticPr fontId="3"/>
  </si>
  <si>
    <t>AMPL (0)</t>
    <phoneticPr fontId="3"/>
  </si>
  <si>
    <t>AMPL (1)</t>
  </si>
  <si>
    <t>AMPL (2)</t>
  </si>
  <si>
    <t>MCK (1)</t>
  </si>
  <si>
    <t>MCK (2)</t>
  </si>
  <si>
    <t>TONE (0)</t>
    <phoneticPr fontId="3"/>
  </si>
  <si>
    <t>TONE (1)</t>
  </si>
  <si>
    <t>TONE (2)</t>
  </si>
  <si>
    <t>SG_TONE[4] (1)</t>
    <phoneticPr fontId="3"/>
  </si>
  <si>
    <t>SPIHB_SELECT1</t>
    <phoneticPr fontId="3"/>
  </si>
  <si>
    <t>SPIHB_DATA0</t>
    <phoneticPr fontId="3"/>
  </si>
  <si>
    <t>RX_FSYNC (1)</t>
  </si>
  <si>
    <t>RX_MCK (1)</t>
  </si>
  <si>
    <t>RX_SCK (1)</t>
  </si>
  <si>
    <t>RX_SD (1)</t>
  </si>
  <si>
    <t>TX_FSYNC (1)</t>
  </si>
  <si>
    <t>TX_MCK (1)</t>
  </si>
  <si>
    <t>TX_SCK (1)</t>
  </si>
  <si>
    <t>TX_SD (1)</t>
  </si>
  <si>
    <t>LINE1_P (1)</t>
  </si>
  <si>
    <t>LINE1_N (1)</t>
  </si>
  <si>
    <t>LINE2_P (1)</t>
  </si>
  <si>
    <t>LINE2_N (1)</t>
  </si>
  <si>
    <t>SPI/UART</t>
    <phoneticPr fontId="3"/>
  </si>
  <si>
    <t>SPI/I2C</t>
    <phoneticPr fontId="3"/>
  </si>
  <si>
    <t>UART/I2C</t>
    <phoneticPr fontId="3"/>
  </si>
  <si>
    <t>Use SPI</t>
    <phoneticPr fontId="3"/>
  </si>
  <si>
    <t>Use UART</t>
    <phoneticPr fontId="3"/>
  </si>
  <si>
    <t>Use I2C</t>
    <phoneticPr fontId="3"/>
  </si>
  <si>
    <t>Duplicate</t>
    <phoneticPr fontId="3"/>
  </si>
  <si>
    <t>(Duplicate SCB function)</t>
    <phoneticPr fontId="3"/>
  </si>
  <si>
    <t>See the Notice *1</t>
  </si>
  <si>
    <t>002-34925_06 - REFERENCE DATA</t>
    <phoneticPr fontId="3"/>
  </si>
  <si>
    <t>09/01/2023</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</si>
</sst>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numFmts>
  <fonts count="21" x14ac:knownFonts="1">
    <font>
      <sz val="11"/>
      <color theme="1"/>
      <name val="游ゴシック"/>
      <family val="2"/>
      <scheme val="minor"/>
    </font>
    <font>
      <b/>
      <sz val="8"/>
      <color rgb="FF000000"/>
      <name val="Arial"/>
      <family val="2"/>
    </font>
    <font>
      <sz val="8"/>
      <color rgb="FF000000"/>
      <name val="Arial"/>
      <family val="2"/>
    </font>
    <font>
      <sz val="6"/>
      <name val="游ゴシック"/>
      <family val="3"/>
      <charset val="128"/>
      <scheme val="minor"/>
    </font>
    <font>
      <sz val="6"/>
      <name val="ＭＳ Ｐゴシック"/>
      <family val="3"/>
      <charset val="128"/>
    </font>
    <font>
      <sz val="8"/>
      <color theme="1"/>
      <name val="Arial"/>
      <family val="2"/>
    </font>
    <font>
      <sz val="6"/>
      <color theme="1"/>
      <name val="Arial"/>
      <family val="2"/>
    </font>
    <font>
      <b/>
      <sz val="8"/>
      <name val="Arial"/>
      <family val="2"/>
    </font>
    <font>
      <b/>
      <sz val="8"/>
      <color theme="1"/>
      <name val="Arial"/>
      <family val="2"/>
    </font>
    <font>
      <sz val="8"/>
      <color theme="0"/>
      <name val="Arial"/>
      <family val="2"/>
    </font>
    <font>
      <sz val="8"/>
      <name val="Arial"/>
      <family val="2"/>
    </font>
    <font>
      <b/>
      <sz val="8"/>
      <color rgb="FFFF0000"/>
      <name val="Arial"/>
      <family val="2"/>
    </font>
    <font>
      <sz val="24"/>
      <color theme="1"/>
      <name val="Arial"/>
      <family val="2"/>
    </font>
    <font>
      <sz val="18"/>
      <color theme="1"/>
      <name val="Arial"/>
      <family val="2"/>
    </font>
    <font>
      <sz val="8"/>
      <color theme="1"/>
      <name val="ＭＳ ゴシック"/>
      <family val="2"/>
      <charset val="128"/>
    </font>
    <font>
      <sz val="9"/>
      <color indexed="81"/>
      <name val="Arial"/>
      <family val="2"/>
    </font>
    <font>
      <u/>
      <sz val="11"/>
      <color theme="1"/>
      <name val="Arial"/>
      <family val="2"/>
    </font>
    <font>
      <sz val="11"/>
      <color theme="1"/>
      <name val="Arial"/>
      <family val="2"/>
    </font>
    <font>
      <b/>
      <sz val="11"/>
      <color theme="1"/>
      <name val="Source Sans Pro"/>
      <family val="2"/>
    </font>
    <font>
      <sz val="11"/>
      <color theme="1"/>
      <name val="Source Sans Pro"/>
      <family val="2"/>
    </font>
    <font>
      <sz val="8"/>
      <color theme="8" tint="0.79998168889431442"/>
      <name val="Arial"/>
      <family val="2"/>
    </font>
  </fonts>
  <fills count="15">
    <fill>
      <patternFill patternType="none"/>
    </fill>
    <fill>
      <patternFill patternType="gray125"/>
    </fill>
    <fill>
      <patternFill patternType="solid">
        <fgColor theme="1"/>
        <bgColor indexed="64"/>
      </patternFill>
    </fill>
    <fill>
      <patternFill patternType="solid">
        <fgColor rgb="FFFF0000"/>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rgb="FFFFFFFF"/>
        <bgColor indexed="64"/>
      </patternFill>
    </fill>
    <fill>
      <patternFill patternType="solid">
        <fgColor theme="4" tint="-0.249977111117893"/>
        <bgColor indexed="64"/>
      </patternFill>
    </fill>
    <fill>
      <patternFill patternType="solid">
        <fgColor rgb="FFC00000"/>
        <bgColor indexed="64"/>
      </patternFill>
    </fill>
    <fill>
      <patternFill patternType="solid">
        <fgColor rgb="FFD9E1F2"/>
        <bgColor indexed="64"/>
      </patternFill>
    </fill>
    <fill>
      <patternFill patternType="solid">
        <fgColor theme="0"/>
        <bgColor indexed="64"/>
      </patternFill>
    </fill>
    <fill>
      <patternFill patternType="solid">
        <fgColor rgb="FF0000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diagonalUp="1">
      <left/>
      <right/>
      <top/>
      <bottom/>
      <diagonal style="thin">
        <color indexed="64"/>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diagonalDown="1">
      <left/>
      <right/>
      <top/>
      <bottom/>
      <diagonal style="thin">
        <color indexed="64"/>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right style="thin">
        <color indexed="64"/>
      </right>
      <top style="thin">
        <color rgb="FF000000"/>
      </top>
      <bottom/>
      <diagonal/>
    </border>
    <border>
      <left style="thin">
        <color rgb="FF000000"/>
      </left>
      <right/>
      <top/>
      <bottom/>
      <diagonal/>
    </border>
    <border>
      <left/>
      <right style="thin">
        <color indexed="64"/>
      </right>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1">
    <xf numFmtId="0" fontId="0" fillId="0" borderId="0"/>
  </cellStyleXfs>
  <cellXfs count="168">
    <xf numFmtId="0" fontId="0" fillId="0" borderId="0" xfId="0"/>
    <xf numFmtId="0" fontId="13" fillId="0" borderId="0" xfId="0" applyFont="1" applyAlignment="1" applyProtection="1">
      <alignment horizontal="left" vertical="top"/>
      <protection locked="0"/>
    </xf>
    <xf numFmtId="0" fontId="0" fillId="0" borderId="0" xfId="0" applyProtection="1">
      <protection locked="0"/>
    </xf>
    <xf numFmtId="0" fontId="0" fillId="0" borderId="0" xfId="0" applyAlignment="1" applyProtection="1">
      <alignment horizontal="left"/>
      <protection locked="0"/>
    </xf>
    <xf numFmtId="0" fontId="5" fillId="0" borderId="0" xfId="0" applyFont="1" applyAlignment="1" applyProtection="1">
      <alignment horizontal="left" vertical="top"/>
      <protection locked="0"/>
    </xf>
    <xf numFmtId="0" fontId="11" fillId="0" borderId="0" xfId="0" applyFont="1" applyAlignment="1" applyProtection="1">
      <alignment horizontal="right" vertical="center"/>
      <protection locked="0"/>
    </xf>
    <xf numFmtId="0" fontId="2" fillId="9" borderId="9" xfId="0" applyFont="1" applyFill="1" applyBorder="1" applyAlignment="1" applyProtection="1">
      <alignment horizontal="center" vertical="center" wrapText="1"/>
      <protection locked="0"/>
    </xf>
    <xf numFmtId="0" fontId="2" fillId="9" borderId="10" xfId="0" applyFont="1" applyFill="1" applyBorder="1" applyAlignment="1" applyProtection="1">
      <alignment horizontal="center" vertical="center" wrapText="1"/>
      <protection locked="0"/>
    </xf>
    <xf numFmtId="0" fontId="2" fillId="9" borderId="11"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left" vertical="top" wrapText="1"/>
      <protection locked="0"/>
    </xf>
    <xf numFmtId="0" fontId="2" fillId="4" borderId="1" xfId="0" applyFont="1" applyFill="1" applyBorder="1" applyAlignment="1" applyProtection="1">
      <alignment horizontal="left" vertical="top" wrapText="1"/>
      <protection locked="0"/>
    </xf>
    <xf numFmtId="0" fontId="2" fillId="4" borderId="8" xfId="0" applyFont="1" applyFill="1" applyBorder="1" applyAlignment="1" applyProtection="1">
      <alignment horizontal="left" vertical="top" wrapText="1"/>
      <protection locked="0"/>
    </xf>
    <xf numFmtId="0" fontId="10" fillId="0" borderId="1" xfId="0" applyFont="1" applyBorder="1" applyAlignment="1" applyProtection="1">
      <alignment horizontal="left" vertical="center"/>
      <protection locked="0"/>
    </xf>
    <xf numFmtId="0" fontId="2" fillId="0" borderId="8" xfId="0" applyFont="1" applyBorder="1" applyAlignment="1" applyProtection="1">
      <alignment horizontal="left" vertical="center" wrapText="1"/>
      <protection locked="0"/>
    </xf>
    <xf numFmtId="0" fontId="2" fillId="0" borderId="8" xfId="0" applyFont="1" applyBorder="1" applyAlignment="1" applyProtection="1">
      <alignment horizontal="left" vertical="top" wrapText="1"/>
      <protection locked="0"/>
    </xf>
    <xf numFmtId="0" fontId="10" fillId="0" borderId="1" xfId="0" applyFont="1" applyBorder="1" applyAlignment="1" applyProtection="1">
      <alignment horizontal="left" vertical="top" wrapText="1"/>
      <protection locked="0"/>
    </xf>
    <xf numFmtId="0" fontId="9" fillId="3" borderId="1" xfId="0" applyFont="1" applyFill="1" applyBorder="1" applyAlignment="1" applyProtection="1">
      <alignment horizontal="left" vertical="top" wrapText="1"/>
      <protection locked="0"/>
    </xf>
    <xf numFmtId="0" fontId="10" fillId="0" borderId="1" xfId="0" applyFont="1" applyBorder="1" applyAlignment="1" applyProtection="1">
      <alignment vertical="center"/>
      <protection locked="0"/>
    </xf>
    <xf numFmtId="0" fontId="9" fillId="8" borderId="1" xfId="0" applyFont="1" applyFill="1" applyBorder="1" applyAlignment="1" applyProtection="1">
      <alignment horizontal="left" vertical="top" wrapText="1"/>
      <protection locked="0"/>
    </xf>
    <xf numFmtId="0" fontId="5" fillId="0" borderId="8" xfId="0" applyFont="1" applyBorder="1" applyAlignment="1" applyProtection="1">
      <alignment vertical="center"/>
      <protection locked="0"/>
    </xf>
    <xf numFmtId="0" fontId="9" fillId="7" borderId="1" xfId="0" applyFont="1" applyFill="1" applyBorder="1" applyAlignment="1" applyProtection="1">
      <alignment horizontal="left" vertical="top" wrapText="1"/>
      <protection locked="0"/>
    </xf>
    <xf numFmtId="0" fontId="16" fillId="10" borderId="0" xfId="0" applyFont="1" applyFill="1"/>
    <xf numFmtId="0" fontId="17" fillId="10" borderId="0" xfId="0" applyFont="1" applyFill="1"/>
    <xf numFmtId="0" fontId="17" fillId="10" borderId="1" xfId="0" applyFont="1" applyFill="1" applyBorder="1" applyAlignment="1">
      <alignment horizontal="center" vertical="center"/>
    </xf>
    <xf numFmtId="0" fontId="17" fillId="10" borderId="1" xfId="0" applyFont="1" applyFill="1" applyBorder="1" applyAlignment="1">
      <alignment horizontal="center" vertical="top"/>
    </xf>
    <xf numFmtId="14" fontId="17" fillId="10" borderId="1" xfId="0" applyNumberFormat="1" applyFont="1" applyFill="1" applyBorder="1" applyAlignment="1">
      <alignment horizontal="center" vertical="top"/>
    </xf>
    <xf numFmtId="0" fontId="17" fillId="10" borderId="1" xfId="0" applyFont="1" applyFill="1" applyBorder="1" applyAlignment="1">
      <alignment horizontal="left" vertical="top"/>
    </xf>
    <xf numFmtId="0" fontId="17" fillId="10" borderId="1" xfId="0" applyFont="1" applyFill="1" applyBorder="1" applyAlignment="1">
      <alignment horizontal="center" vertical="top" wrapText="1"/>
    </xf>
    <xf numFmtId="0" fontId="17" fillId="10" borderId="1" xfId="0" applyFont="1" applyFill="1" applyBorder="1" applyAlignment="1">
      <alignment horizontal="left" vertical="top" wrapText="1"/>
    </xf>
    <xf numFmtId="0" fontId="13" fillId="0" borderId="0" xfId="0" applyFont="1" applyAlignment="1" applyProtection="1">
      <alignment vertical="center"/>
      <protection locked="0"/>
    </xf>
    <xf numFmtId="0" fontId="5" fillId="0" borderId="0" xfId="0" applyFont="1" applyAlignment="1" applyProtection="1">
      <alignment vertical="center"/>
      <protection locked="0"/>
    </xf>
    <xf numFmtId="0" fontId="10" fillId="0" borderId="0" xfId="0" applyFont="1" applyAlignment="1" applyProtection="1">
      <alignment horizontal="right" vertical="center"/>
      <protection locked="0"/>
    </xf>
    <xf numFmtId="0" fontId="5" fillId="5" borderId="1" xfId="0" applyFont="1" applyFill="1" applyBorder="1" applyAlignment="1" applyProtection="1">
      <alignment horizontal="center" vertical="center"/>
      <protection locked="0"/>
    </xf>
    <xf numFmtId="0" fontId="5" fillId="0" borderId="1" xfId="0" applyFont="1" applyBorder="1" applyAlignment="1" applyProtection="1">
      <alignment vertical="center"/>
      <protection locked="0"/>
    </xf>
    <xf numFmtId="0" fontId="5" fillId="0" borderId="0" xfId="0" applyFont="1" applyAlignment="1" applyProtection="1">
      <alignment horizontal="center" vertical="center"/>
      <protection locked="0"/>
    </xf>
    <xf numFmtId="49" fontId="5" fillId="0" borderId="1" xfId="0" applyNumberFormat="1" applyFont="1" applyBorder="1" applyAlignment="1" applyProtection="1">
      <alignment vertical="center"/>
      <protection locked="0"/>
    </xf>
    <xf numFmtId="0" fontId="5" fillId="6" borderId="1" xfId="0" applyFont="1" applyFill="1" applyBorder="1" applyAlignment="1" applyProtection="1">
      <alignment horizontal="left" vertical="top"/>
      <protection locked="0"/>
    </xf>
    <xf numFmtId="0" fontId="5" fillId="0" borderId="1" xfId="0" applyFont="1" applyBorder="1" applyAlignment="1" applyProtection="1">
      <alignment horizontal="left" vertical="top"/>
      <protection locked="0"/>
    </xf>
    <xf numFmtId="0" fontId="14" fillId="0" borderId="0" xfId="0" applyFont="1" applyAlignment="1" applyProtection="1">
      <alignment vertical="center"/>
      <protection locked="0"/>
    </xf>
    <xf numFmtId="49" fontId="5" fillId="0" borderId="1" xfId="0" applyNumberFormat="1" applyFont="1" applyBorder="1" applyAlignment="1" applyProtection="1">
      <alignment horizontal="left" vertical="center"/>
      <protection locked="0"/>
    </xf>
    <xf numFmtId="49" fontId="5" fillId="0" borderId="0" xfId="0" applyNumberFormat="1" applyFont="1" applyAlignment="1" applyProtection="1">
      <alignment horizontal="center" vertical="center"/>
      <protection locked="0"/>
    </xf>
    <xf numFmtId="49" fontId="5" fillId="0" borderId="0" xfId="0" applyNumberFormat="1" applyFont="1" applyAlignment="1" applyProtection="1">
      <alignment horizontal="left" vertical="center"/>
      <protection locked="0"/>
    </xf>
    <xf numFmtId="0" fontId="5" fillId="9" borderId="1" xfId="0" applyFont="1" applyFill="1" applyBorder="1" applyAlignment="1" applyProtection="1">
      <alignment vertical="center"/>
      <protection locked="0"/>
    </xf>
    <xf numFmtId="0" fontId="5" fillId="9" borderId="15" xfId="0" applyFont="1" applyFill="1" applyBorder="1" applyAlignment="1" applyProtection="1">
      <alignment horizontal="center" vertical="center"/>
      <protection locked="0"/>
    </xf>
    <xf numFmtId="0" fontId="5" fillId="10" borderId="15" xfId="0" applyFont="1" applyFill="1" applyBorder="1" applyAlignment="1" applyProtection="1">
      <alignment vertical="center"/>
      <protection locked="0"/>
    </xf>
    <xf numFmtId="0" fontId="5" fillId="10" borderId="1" xfId="0" applyFont="1" applyFill="1" applyBorder="1" applyAlignment="1" applyProtection="1">
      <alignment vertical="center"/>
      <protection locked="0"/>
    </xf>
    <xf numFmtId="0" fontId="5" fillId="10" borderId="16" xfId="0" applyFont="1" applyFill="1" applyBorder="1" applyAlignment="1" applyProtection="1">
      <alignment vertical="center"/>
      <protection locked="0"/>
    </xf>
    <xf numFmtId="0" fontId="5" fillId="10" borderId="17" xfId="0" applyFont="1" applyFill="1" applyBorder="1" applyAlignment="1" applyProtection="1">
      <alignment vertical="center"/>
      <protection locked="0"/>
    </xf>
    <xf numFmtId="0" fontId="5" fillId="9" borderId="6" xfId="0" applyFont="1" applyFill="1" applyBorder="1" applyAlignment="1" applyProtection="1">
      <alignment vertical="center"/>
      <protection locked="0"/>
    </xf>
    <xf numFmtId="0" fontId="5" fillId="0" borderId="4" xfId="0" applyFont="1" applyBorder="1" applyAlignment="1" applyProtection="1">
      <alignment horizontal="center" vertical="center"/>
      <protection locked="0"/>
    </xf>
    <xf numFmtId="0" fontId="5" fillId="0" borderId="4" xfId="0" applyFont="1" applyBorder="1" applyAlignment="1" applyProtection="1">
      <alignment vertical="center"/>
      <protection locked="0"/>
    </xf>
    <xf numFmtId="0" fontId="5" fillId="0" borderId="0" xfId="0" applyFont="1" applyAlignment="1" applyProtection="1">
      <alignment horizontal="left" vertical="center"/>
      <protection locked="0"/>
    </xf>
    <xf numFmtId="0" fontId="2" fillId="0" borderId="1" xfId="0" applyFont="1" applyBorder="1" applyAlignment="1" applyProtection="1">
      <alignment horizontal="left" vertical="top" wrapText="1"/>
      <protection locked="0"/>
    </xf>
    <xf numFmtId="0" fontId="10" fillId="0" borderId="8" xfId="0" applyFont="1" applyBorder="1" applyAlignment="1" applyProtection="1">
      <alignment horizontal="left" vertical="top" wrapText="1"/>
      <protection locked="0"/>
    </xf>
    <xf numFmtId="176" fontId="9" fillId="3" borderId="1" xfId="0" applyNumberFormat="1" applyFont="1" applyFill="1" applyBorder="1" applyAlignment="1" applyProtection="1">
      <alignment horizontal="center" textRotation="90"/>
      <protection locked="0"/>
    </xf>
    <xf numFmtId="176" fontId="5" fillId="0" borderId="1" xfId="0" applyNumberFormat="1" applyFont="1" applyBorder="1" applyAlignment="1" applyProtection="1">
      <alignment horizontal="center" textRotation="90"/>
      <protection locked="0"/>
    </xf>
    <xf numFmtId="176" fontId="9" fillId="2" borderId="1" xfId="0" applyNumberFormat="1" applyFont="1" applyFill="1" applyBorder="1" applyAlignment="1" applyProtection="1">
      <alignment horizontal="center" textRotation="90"/>
      <protection locked="0"/>
    </xf>
    <xf numFmtId="0" fontId="6" fillId="0" borderId="2" xfId="0" applyFont="1" applyBorder="1" applyAlignment="1" applyProtection="1">
      <alignment horizontal="center" vertical="center"/>
      <protection locked="0"/>
    </xf>
    <xf numFmtId="0" fontId="6" fillId="0" borderId="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4" xfId="0" applyFont="1" applyBorder="1" applyAlignment="1" applyProtection="1">
      <alignment horizontal="center" vertical="center"/>
      <protection locked="0"/>
    </xf>
    <xf numFmtId="0" fontId="6" fillId="0" borderId="0" xfId="0" applyFont="1" applyAlignment="1" applyProtection="1">
      <alignment horizontal="center" vertical="center"/>
      <protection locked="0"/>
    </xf>
    <xf numFmtId="0" fontId="6" fillId="0" borderId="5" xfId="0" applyFont="1" applyBorder="1" applyAlignment="1" applyProtection="1">
      <alignment horizontal="center" vertical="center"/>
      <protection locked="0"/>
    </xf>
    <xf numFmtId="176" fontId="9" fillId="2" borderId="6" xfId="0" applyNumberFormat="1" applyFont="1" applyFill="1" applyBorder="1" applyAlignment="1" applyProtection="1">
      <alignment horizontal="right" vertical="center"/>
      <protection locked="0"/>
    </xf>
    <xf numFmtId="176" fontId="9" fillId="3" borderId="1" xfId="0" applyNumberFormat="1" applyFont="1" applyFill="1" applyBorder="1" applyAlignment="1" applyProtection="1">
      <alignment vertical="center"/>
      <protection locked="0"/>
    </xf>
    <xf numFmtId="176" fontId="5" fillId="0" borderId="6" xfId="0" applyNumberFormat="1" applyFont="1" applyBorder="1" applyAlignment="1" applyProtection="1">
      <alignment horizontal="right" vertical="center"/>
      <protection locked="0"/>
    </xf>
    <xf numFmtId="176" fontId="5" fillId="0" borderId="1" xfId="0" applyNumberFormat="1" applyFont="1" applyBorder="1" applyAlignment="1" applyProtection="1">
      <alignment vertical="center"/>
      <protection locked="0"/>
    </xf>
    <xf numFmtId="176" fontId="9" fillId="3" borderId="6" xfId="0" applyNumberFormat="1" applyFont="1" applyFill="1" applyBorder="1" applyAlignment="1" applyProtection="1">
      <alignment horizontal="right" vertical="center"/>
      <protection locked="0"/>
    </xf>
    <xf numFmtId="176" fontId="9" fillId="2" borderId="1" xfId="0" applyNumberFormat="1" applyFont="1" applyFill="1" applyBorder="1" applyAlignment="1" applyProtection="1">
      <alignment vertical="center"/>
      <protection locked="0"/>
    </xf>
    <xf numFmtId="0" fontId="6" fillId="0" borderId="7" xfId="0" applyFont="1" applyBorder="1" applyAlignment="1" applyProtection="1">
      <alignment horizontal="center" vertical="center"/>
      <protection locked="0"/>
    </xf>
    <xf numFmtId="176" fontId="9" fillId="2" borderId="1" xfId="0" applyNumberFormat="1" applyFont="1" applyFill="1" applyBorder="1" applyAlignment="1" applyProtection="1">
      <alignment horizontal="center" vertical="top" textRotation="180"/>
      <protection locked="0"/>
    </xf>
    <xf numFmtId="176" fontId="9" fillId="3" borderId="1" xfId="0" applyNumberFormat="1" applyFont="1" applyFill="1" applyBorder="1" applyAlignment="1" applyProtection="1">
      <alignment horizontal="center" vertical="top" textRotation="180"/>
      <protection locked="0"/>
    </xf>
    <xf numFmtId="176" fontId="5" fillId="0" borderId="1" xfId="0" applyNumberFormat="1" applyFont="1" applyBorder="1" applyAlignment="1" applyProtection="1">
      <alignment horizontal="center" vertical="top" textRotation="180"/>
      <protection locked="0"/>
    </xf>
    <xf numFmtId="49" fontId="17" fillId="10" borderId="1" xfId="0" applyNumberFormat="1" applyFont="1" applyFill="1" applyBorder="1" applyAlignment="1">
      <alignment horizontal="left" vertical="top" wrapText="1"/>
    </xf>
    <xf numFmtId="0" fontId="2" fillId="10" borderId="1" xfId="0" applyFont="1" applyFill="1" applyBorder="1" applyAlignment="1" applyProtection="1">
      <alignment horizontal="left" vertical="top" wrapText="1"/>
      <protection locked="0"/>
    </xf>
    <xf numFmtId="0" fontId="2" fillId="10" borderId="8" xfId="0" applyFont="1" applyFill="1" applyBorder="1" applyAlignment="1" applyProtection="1">
      <alignment horizontal="left" vertical="center" wrapText="1"/>
      <protection locked="0"/>
    </xf>
    <xf numFmtId="0" fontId="2" fillId="4" borderId="8" xfId="0" applyFont="1" applyFill="1" applyBorder="1" applyAlignment="1" applyProtection="1">
      <alignment horizontal="left" vertical="center" wrapText="1"/>
      <protection locked="0"/>
    </xf>
    <xf numFmtId="176" fontId="9" fillId="10" borderId="6" xfId="0" applyNumberFormat="1" applyFont="1" applyFill="1" applyBorder="1" applyAlignment="1" applyProtection="1">
      <alignment horizontal="right" vertical="center"/>
      <protection locked="0"/>
    </xf>
    <xf numFmtId="176" fontId="9" fillId="8" borderId="1" xfId="0" applyNumberFormat="1" applyFont="1" applyFill="1" applyBorder="1" applyAlignment="1" applyProtection="1">
      <alignment vertical="center"/>
      <protection locked="0"/>
    </xf>
    <xf numFmtId="176" fontId="9" fillId="7" borderId="1" xfId="0" applyNumberFormat="1" applyFont="1" applyFill="1" applyBorder="1" applyAlignment="1" applyProtection="1">
      <alignment vertical="center"/>
      <protection locked="0"/>
    </xf>
    <xf numFmtId="176" fontId="9" fillId="11" borderId="6" xfId="0" applyNumberFormat="1" applyFont="1" applyFill="1" applyBorder="1" applyAlignment="1" applyProtection="1">
      <alignment horizontal="right" vertical="center"/>
      <protection locked="0"/>
    </xf>
    <xf numFmtId="176" fontId="5" fillId="10" borderId="6" xfId="0" applyNumberFormat="1" applyFont="1" applyFill="1" applyBorder="1" applyAlignment="1" applyProtection="1">
      <alignment horizontal="right" vertical="center"/>
      <protection locked="0"/>
    </xf>
    <xf numFmtId="176" fontId="5" fillId="10" borderId="1" xfId="0" applyNumberFormat="1" applyFont="1" applyFill="1" applyBorder="1" applyAlignment="1" applyProtection="1">
      <alignment horizontal="center" vertical="top" textRotation="180"/>
      <protection locked="0"/>
    </xf>
    <xf numFmtId="176" fontId="9" fillId="11" borderId="1" xfId="0" applyNumberFormat="1" applyFont="1" applyFill="1" applyBorder="1" applyAlignment="1" applyProtection="1">
      <alignment horizontal="center" vertical="top" textRotation="180"/>
      <protection locked="0"/>
    </xf>
    <xf numFmtId="176" fontId="9" fillId="11" borderId="1" xfId="0" applyNumberFormat="1" applyFont="1" applyFill="1" applyBorder="1" applyAlignment="1" applyProtection="1">
      <alignment vertical="center"/>
      <protection locked="0"/>
    </xf>
    <xf numFmtId="176" fontId="9" fillId="11" borderId="1" xfId="0" applyNumberFormat="1" applyFont="1" applyFill="1" applyBorder="1" applyAlignment="1" applyProtection="1">
      <alignment horizontal="center" textRotation="90"/>
      <protection locked="0"/>
    </xf>
    <xf numFmtId="0" fontId="5" fillId="0" borderId="1" xfId="0" applyFont="1" applyBorder="1" applyAlignment="1" applyProtection="1">
      <alignment horizontal="center" vertical="center" wrapText="1"/>
      <protection locked="0"/>
    </xf>
    <xf numFmtId="0" fontId="5" fillId="0" borderId="0" xfId="0" applyFont="1" applyProtection="1">
      <protection locked="0"/>
    </xf>
    <xf numFmtId="0" fontId="5" fillId="0" borderId="13" xfId="0" applyFont="1" applyFill="1" applyBorder="1" applyAlignment="1" applyProtection="1">
      <alignment vertical="center"/>
      <protection locked="0"/>
    </xf>
    <xf numFmtId="0" fontId="5" fillId="0" borderId="1" xfId="0" applyFont="1" applyFill="1" applyBorder="1" applyAlignment="1" applyProtection="1">
      <alignment vertical="center"/>
      <protection locked="0"/>
    </xf>
    <xf numFmtId="0" fontId="20" fillId="5" borderId="16" xfId="0" applyFont="1" applyFill="1" applyBorder="1" applyAlignment="1" applyProtection="1">
      <alignment horizontal="center" vertical="center"/>
      <protection locked="0"/>
    </xf>
    <xf numFmtId="0" fontId="5" fillId="5" borderId="15" xfId="0" applyFont="1" applyFill="1" applyBorder="1" applyAlignment="1" applyProtection="1">
      <alignment horizontal="center" vertical="center"/>
      <protection locked="0"/>
    </xf>
    <xf numFmtId="0" fontId="5" fillId="10" borderId="6" xfId="0" applyFont="1" applyFill="1" applyBorder="1" applyAlignment="1" applyProtection="1">
      <alignment vertical="center"/>
      <protection locked="0"/>
    </xf>
    <xf numFmtId="0" fontId="5" fillId="12" borderId="1" xfId="0" applyFont="1" applyFill="1" applyBorder="1" applyAlignment="1" applyProtection="1">
      <alignment vertical="center"/>
      <protection locked="0"/>
    </xf>
    <xf numFmtId="0" fontId="5" fillId="13" borderId="1" xfId="0" applyFont="1" applyFill="1" applyBorder="1" applyAlignment="1" applyProtection="1">
      <alignment vertical="center"/>
      <protection locked="0"/>
    </xf>
    <xf numFmtId="0" fontId="5" fillId="14" borderId="1" xfId="0" applyFont="1" applyFill="1" applyBorder="1" applyAlignment="1" applyProtection="1">
      <alignment vertical="center"/>
      <protection locked="0"/>
    </xf>
    <xf numFmtId="0" fontId="1" fillId="9" borderId="8" xfId="0" applyFont="1" applyFill="1" applyBorder="1" applyAlignment="1" applyProtection="1">
      <alignment horizontal="center" vertical="center" wrapText="1"/>
      <protection locked="0"/>
    </xf>
    <xf numFmtId="0" fontId="0" fillId="0" borderId="16" xfId="0" applyBorder="1" applyAlignment="1" applyProtection="1">
      <alignment vertical="center"/>
      <protection locked="0"/>
    </xf>
    <xf numFmtId="0" fontId="1" fillId="9" borderId="21" xfId="0" applyFont="1" applyFill="1" applyBorder="1" applyAlignment="1" applyProtection="1">
      <alignment horizontal="center" vertical="center" wrapText="1"/>
      <protection locked="0"/>
    </xf>
    <xf numFmtId="0" fontId="1" fillId="9" borderId="23" xfId="0" applyFont="1" applyFill="1" applyBorder="1" applyAlignment="1" applyProtection="1">
      <alignment horizontal="center" vertical="center" wrapText="1"/>
      <protection locked="0"/>
    </xf>
    <xf numFmtId="0" fontId="1" fillId="9" borderId="20" xfId="0" applyFont="1" applyFill="1" applyBorder="1" applyAlignment="1" applyProtection="1">
      <alignment horizontal="center" vertical="center" wrapText="1"/>
      <protection locked="0"/>
    </xf>
    <xf numFmtId="0" fontId="7" fillId="9" borderId="15" xfId="0" applyFont="1" applyFill="1" applyBorder="1" applyAlignment="1" applyProtection="1">
      <alignment horizontal="center" vertical="center" wrapText="1"/>
      <protection locked="0"/>
    </xf>
    <xf numFmtId="0" fontId="7" fillId="9" borderId="17" xfId="0" applyFont="1" applyFill="1" applyBorder="1" applyAlignment="1" applyProtection="1">
      <alignment horizontal="center" vertical="center" wrapText="1"/>
      <protection locked="0"/>
    </xf>
    <xf numFmtId="0" fontId="7" fillId="9" borderId="16" xfId="0" applyFont="1" applyFill="1" applyBorder="1" applyAlignment="1" applyProtection="1">
      <alignment horizontal="center" vertical="center" wrapText="1"/>
      <protection locked="0"/>
    </xf>
    <xf numFmtId="0" fontId="7" fillId="9" borderId="15" xfId="0" applyFont="1" applyFill="1" applyBorder="1" applyAlignment="1" applyProtection="1">
      <alignment horizontal="center" vertical="center"/>
      <protection locked="0"/>
    </xf>
    <xf numFmtId="0" fontId="7" fillId="9" borderId="16" xfId="0" applyFont="1" applyFill="1" applyBorder="1" applyAlignment="1" applyProtection="1">
      <alignment horizontal="center" vertical="center"/>
      <protection locked="0"/>
    </xf>
    <xf numFmtId="0" fontId="8" fillId="9" borderId="6" xfId="0" applyFont="1" applyFill="1" applyBorder="1" applyAlignment="1" applyProtection="1">
      <alignment horizontal="center" vertical="center"/>
      <protection locked="0"/>
    </xf>
    <xf numFmtId="0" fontId="8" fillId="9" borderId="13" xfId="0" applyFont="1" applyFill="1" applyBorder="1" applyAlignment="1" applyProtection="1">
      <alignment horizontal="center" vertical="center"/>
      <protection locked="0"/>
    </xf>
    <xf numFmtId="0" fontId="7" fillId="5" borderId="1" xfId="0" applyFont="1" applyFill="1" applyBorder="1" applyAlignment="1" applyProtection="1">
      <alignment horizontal="center" vertical="center"/>
      <protection locked="0"/>
    </xf>
    <xf numFmtId="0" fontId="7" fillId="9" borderId="1" xfId="0" applyFont="1" applyFill="1" applyBorder="1" applyAlignment="1" applyProtection="1">
      <alignment horizontal="center" vertical="center" wrapText="1"/>
      <protection locked="0"/>
    </xf>
    <xf numFmtId="0" fontId="7" fillId="9" borderId="1" xfId="0" applyFont="1" applyFill="1" applyBorder="1" applyAlignment="1" applyProtection="1">
      <alignment horizontal="center" vertical="center"/>
      <protection locked="0"/>
    </xf>
    <xf numFmtId="0" fontId="7" fillId="5" borderId="6" xfId="0" applyFont="1" applyFill="1" applyBorder="1" applyAlignment="1" applyProtection="1">
      <alignment horizontal="center" vertical="center"/>
      <protection locked="0"/>
    </xf>
    <xf numFmtId="0" fontId="7" fillId="5" borderId="12" xfId="0" applyFont="1" applyFill="1" applyBorder="1" applyAlignment="1" applyProtection="1">
      <alignment horizontal="center" vertical="center"/>
      <protection locked="0"/>
    </xf>
    <xf numFmtId="0" fontId="7" fillId="5" borderId="13" xfId="0" applyFont="1" applyFill="1" applyBorder="1" applyAlignment="1" applyProtection="1">
      <alignment horizontal="center" vertical="center"/>
      <protection locked="0"/>
    </xf>
    <xf numFmtId="0" fontId="1" fillId="5" borderId="6" xfId="0" applyFont="1" applyFill="1" applyBorder="1" applyAlignment="1" applyProtection="1">
      <alignment horizontal="center" vertical="center" wrapText="1"/>
      <protection locked="0"/>
    </xf>
    <xf numFmtId="0" fontId="1" fillId="5" borderId="13" xfId="0" applyFont="1" applyFill="1" applyBorder="1" applyAlignment="1" applyProtection="1">
      <alignment horizontal="center" vertical="center" wrapText="1"/>
      <protection locked="0"/>
    </xf>
    <xf numFmtId="0" fontId="1" fillId="5" borderId="15" xfId="0" applyFont="1" applyFill="1" applyBorder="1" applyAlignment="1" applyProtection="1">
      <alignment horizontal="center" vertical="center" wrapText="1"/>
      <protection locked="0"/>
    </xf>
    <xf numFmtId="0" fontId="1" fillId="5" borderId="16" xfId="0" applyFont="1" applyFill="1" applyBorder="1" applyAlignment="1" applyProtection="1">
      <alignment horizontal="center" vertical="center" wrapText="1"/>
      <protection locked="0"/>
    </xf>
    <xf numFmtId="0" fontId="1" fillId="9" borderId="8" xfId="0" applyFont="1" applyFill="1" applyBorder="1" applyAlignment="1" applyProtection="1">
      <alignment horizontal="center" vertical="center" wrapText="1"/>
      <protection locked="0"/>
    </xf>
    <xf numFmtId="0" fontId="1" fillId="9" borderId="10" xfId="0" applyFont="1" applyFill="1" applyBorder="1" applyAlignment="1" applyProtection="1">
      <alignment horizontal="center" vertical="center" wrapText="1"/>
      <protection locked="0"/>
    </xf>
    <xf numFmtId="0" fontId="1" fillId="5" borderId="1" xfId="0" applyFont="1" applyFill="1" applyBorder="1" applyAlignment="1" applyProtection="1">
      <alignment horizontal="center" vertical="center" wrapText="1"/>
      <protection locked="0"/>
    </xf>
    <xf numFmtId="0" fontId="5" fillId="0" borderId="15" xfId="0" applyFont="1" applyBorder="1" applyAlignment="1" applyProtection="1">
      <alignment horizontal="center" vertical="center"/>
      <protection locked="0"/>
    </xf>
    <xf numFmtId="0" fontId="5" fillId="0" borderId="17" xfId="0" applyFont="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5" borderId="27" xfId="0" applyFont="1" applyFill="1" applyBorder="1" applyAlignment="1" applyProtection="1">
      <alignment horizontal="center" vertical="center"/>
      <protection locked="0"/>
    </xf>
    <xf numFmtId="0" fontId="5" fillId="5" borderId="28" xfId="0" applyFont="1" applyFill="1" applyBorder="1" applyAlignment="1" applyProtection="1">
      <alignment horizontal="center" vertical="center"/>
      <protection locked="0"/>
    </xf>
    <xf numFmtId="0" fontId="5" fillId="14" borderId="6" xfId="0" applyFont="1" applyFill="1" applyBorder="1" applyAlignment="1" applyProtection="1">
      <alignment horizontal="right" vertical="center"/>
      <protection locked="0"/>
    </xf>
    <xf numFmtId="0" fontId="5" fillId="14" borderId="13" xfId="0" applyFont="1" applyFill="1" applyBorder="1" applyAlignment="1" applyProtection="1">
      <alignment horizontal="right" vertical="center"/>
      <protection locked="0"/>
    </xf>
    <xf numFmtId="0" fontId="5" fillId="5" borderId="6" xfId="0" applyFont="1" applyFill="1" applyBorder="1" applyAlignment="1" applyProtection="1">
      <alignment horizontal="center" vertical="center"/>
      <protection locked="0"/>
    </xf>
    <xf numFmtId="0" fontId="5" fillId="5" borderId="13" xfId="0" applyFont="1" applyFill="1" applyBorder="1" applyAlignment="1" applyProtection="1">
      <alignment horizontal="center" vertical="center"/>
      <protection locked="0"/>
    </xf>
    <xf numFmtId="0" fontId="5" fillId="10" borderId="1" xfId="0" applyFont="1" applyFill="1" applyBorder="1" applyAlignment="1" applyProtection="1">
      <alignment horizontal="left" vertical="top"/>
      <protection locked="0"/>
    </xf>
    <xf numFmtId="0" fontId="5" fillId="0" borderId="1" xfId="0" applyFont="1" applyBorder="1" applyAlignment="1" applyProtection="1">
      <alignment horizontal="center" vertical="center"/>
      <protection locked="0"/>
    </xf>
    <xf numFmtId="0" fontId="5" fillId="5" borderId="26" xfId="0" applyFont="1" applyFill="1" applyBorder="1" applyAlignment="1" applyProtection="1">
      <alignment horizontal="center" vertical="center"/>
      <protection locked="0"/>
    </xf>
    <xf numFmtId="0" fontId="5" fillId="5" borderId="29" xfId="0" applyFont="1" applyFill="1" applyBorder="1" applyAlignment="1" applyProtection="1">
      <alignment horizontal="center" vertical="center"/>
      <protection locked="0"/>
    </xf>
    <xf numFmtId="0" fontId="5" fillId="12" borderId="6" xfId="0" applyFont="1" applyFill="1" applyBorder="1" applyAlignment="1" applyProtection="1">
      <alignment horizontal="right" vertical="center"/>
      <protection locked="0"/>
    </xf>
    <xf numFmtId="0" fontId="5" fillId="12" borderId="13" xfId="0" applyFont="1" applyFill="1" applyBorder="1" applyAlignment="1" applyProtection="1">
      <alignment horizontal="right" vertical="center"/>
      <protection locked="0"/>
    </xf>
    <xf numFmtId="49" fontId="5" fillId="0" borderId="15" xfId="0" applyNumberFormat="1" applyFont="1" applyBorder="1" applyAlignment="1" applyProtection="1">
      <alignment horizontal="center" vertical="center" wrapText="1"/>
      <protection locked="0"/>
    </xf>
    <xf numFmtId="0" fontId="5" fillId="13" borderId="6" xfId="0" applyFont="1" applyFill="1" applyBorder="1" applyAlignment="1" applyProtection="1">
      <alignment horizontal="right" vertical="center"/>
      <protection locked="0"/>
    </xf>
    <xf numFmtId="0" fontId="5" fillId="13" borderId="13" xfId="0" applyFont="1" applyFill="1" applyBorder="1" applyAlignment="1" applyProtection="1">
      <alignment horizontal="right" vertical="center"/>
      <protection locked="0"/>
    </xf>
    <xf numFmtId="0" fontId="5" fillId="0" borderId="15" xfId="0" applyFont="1" applyBorder="1" applyAlignment="1" applyProtection="1">
      <alignment horizontal="center" vertical="center" wrapText="1"/>
      <protection locked="0"/>
    </xf>
    <xf numFmtId="0" fontId="5" fillId="0" borderId="16" xfId="0" applyFont="1" applyBorder="1" applyAlignment="1" applyProtection="1">
      <alignment horizontal="center" vertical="center" wrapText="1"/>
      <protection locked="0"/>
    </xf>
    <xf numFmtId="0" fontId="0" fillId="0" borderId="16" xfId="0" applyBorder="1" applyAlignment="1" applyProtection="1">
      <alignment vertical="center"/>
      <protection locked="0"/>
    </xf>
    <xf numFmtId="0" fontId="12" fillId="0" borderId="0" xfId="0" applyFont="1" applyAlignment="1" applyProtection="1">
      <alignment horizontal="center" vertical="center"/>
      <protection locked="0"/>
    </xf>
    <xf numFmtId="49" fontId="5" fillId="0" borderId="17" xfId="0" applyNumberFormat="1" applyFont="1" applyBorder="1" applyAlignment="1" applyProtection="1">
      <alignment horizontal="center" vertical="center" wrapText="1"/>
      <protection locked="0"/>
    </xf>
    <xf numFmtId="0" fontId="0" fillId="0" borderId="17" xfId="0" applyBorder="1" applyAlignment="1" applyProtection="1">
      <alignment horizontal="center" vertical="center" wrapText="1"/>
      <protection locked="0"/>
    </xf>
    <xf numFmtId="0" fontId="0" fillId="0" borderId="16" xfId="0" applyBorder="1" applyAlignment="1" applyProtection="1">
      <alignment horizontal="center" vertical="center" wrapText="1"/>
      <protection locked="0"/>
    </xf>
    <xf numFmtId="0" fontId="0" fillId="0" borderId="22" xfId="0" applyBorder="1" applyAlignment="1" applyProtection="1">
      <alignment horizontal="center" vertical="center" wrapText="1"/>
      <protection locked="0"/>
    </xf>
    <xf numFmtId="0" fontId="0" fillId="0" borderId="5" xfId="0" applyBorder="1" applyAlignment="1" applyProtection="1">
      <alignment horizontal="center" vertical="center" wrapText="1"/>
      <protection locked="0"/>
    </xf>
    <xf numFmtId="0" fontId="0" fillId="0" borderId="24" xfId="0" applyBorder="1" applyAlignment="1" applyProtection="1">
      <alignment horizontal="center" vertical="center" wrapText="1"/>
      <protection locked="0"/>
    </xf>
    <xf numFmtId="0" fontId="2" fillId="0" borderId="11" xfId="0" applyFont="1" applyBorder="1" applyAlignment="1" applyProtection="1">
      <alignment horizontal="left" vertical="top" wrapText="1"/>
      <protection locked="0"/>
    </xf>
    <xf numFmtId="0" fontId="2" fillId="0" borderId="9" xfId="0" applyFont="1" applyBorder="1" applyAlignment="1" applyProtection="1">
      <alignment horizontal="left" vertical="top" wrapText="1"/>
      <protection locked="0"/>
    </xf>
    <xf numFmtId="0" fontId="5" fillId="0" borderId="1" xfId="0" applyFont="1" applyBorder="1" applyAlignment="1" applyProtection="1">
      <alignment horizontal="left" vertical="top" wrapText="1"/>
      <protection locked="0"/>
    </xf>
    <xf numFmtId="0" fontId="2" fillId="0" borderId="19" xfId="0" applyFont="1" applyBorder="1" applyAlignment="1" applyProtection="1">
      <alignment horizontal="left" vertical="top" wrapText="1"/>
      <protection locked="0"/>
    </xf>
    <xf numFmtId="0" fontId="2" fillId="0" borderId="18" xfId="0" applyFont="1" applyBorder="1" applyAlignment="1" applyProtection="1">
      <alignment horizontal="left" vertical="top" wrapText="1"/>
      <protection locked="0"/>
    </xf>
    <xf numFmtId="0" fontId="2" fillId="0" borderId="10" xfId="0" applyFont="1" applyBorder="1" applyAlignment="1" applyProtection="1">
      <alignment horizontal="left" vertical="top" wrapText="1"/>
      <protection locked="0"/>
    </xf>
    <xf numFmtId="0" fontId="2" fillId="0" borderId="25" xfId="0" applyFont="1" applyBorder="1" applyAlignment="1" applyProtection="1">
      <alignment horizontal="left" vertical="top" wrapText="1"/>
      <protection locked="0"/>
    </xf>
    <xf numFmtId="0" fontId="2" fillId="6" borderId="8" xfId="0" applyFont="1" applyFill="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11" fillId="0" borderId="0" xfId="0" applyFont="1" applyAlignment="1" applyProtection="1">
      <alignment horizontal="right" vertical="center"/>
    </xf>
    <xf numFmtId="0" fontId="18" fillId="4" borderId="0" xfId="0" applyFont="1" applyFill="1" applyAlignment="1" applyProtection="1">
      <alignment horizontal="left"/>
    </xf>
    <xf numFmtId="0" fontId="19" fillId="4" borderId="0" xfId="0" applyFont="1" applyFill="1" applyAlignment="1" applyProtection="1">
      <alignment horizontal="left" vertical="top" wrapText="1"/>
    </xf>
    <xf numFmtId="0" fontId="0" fillId="0" borderId="17" xfId="0" applyBorder="1" applyAlignment="1" applyProtection="1">
      <alignment vertical="center"/>
      <protection locked="0"/>
    </xf>
    <xf numFmtId="0" fontId="0" fillId="0" borderId="0" xfId="0" applyAlignment="1" applyProtection="1">
      <alignment vertical="center"/>
      <protection locked="0"/>
    </xf>
    <xf numFmtId="0" fontId="0" fillId="0" borderId="15" xfId="0" applyBorder="1" applyAlignment="1" applyProtection="1">
      <alignment vertical="center"/>
      <protection locked="0"/>
    </xf>
    <xf numFmtId="0" fontId="0" fillId="0" borderId="17" xfId="0" applyBorder="1" applyAlignment="1" applyProtection="1">
      <alignment vertical="center"/>
      <protection locked="0"/>
    </xf>
    <xf numFmtId="0" fontId="18" fillId="4" borderId="0" xfId="0" applyFont="1" applyFill="1" applyAlignment="1" applyProtection="1">
      <alignment horizontal="left" vertical="center"/>
    </xf>
    <xf numFmtId="0" fontId="18" fillId="4" borderId="0" xfId="0" applyFont="1" applyFill="1" applyAlignment="1" applyProtection="1">
      <alignment horizontal="left"/>
      <protection locked="0"/>
    </xf>
    <xf numFmtId="0" fontId="19" fillId="4" borderId="0" xfId="0" applyFont="1" applyFill="1" applyAlignment="1" applyProtection="1">
      <alignment horizontal="left" vertical="top" wrapText="1"/>
      <protection locked="0"/>
    </xf>
  </cellXfs>
  <cellStyles count="1">
    <cellStyle name="標準" xfId="0" builtinId="0"/>
  </cellStyles>
  <dxfs count="176">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
      <fill>
        <patternFill>
          <bgColor rgb="FFFFFF00"/>
        </patternFill>
      </fill>
    </dxf>
    <dxf>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
      <font>
        <color rgb="FFFF0000"/>
      </font>
      <fill>
        <patternFill>
          <bgColor rgb="FFFFFF00"/>
        </patternFill>
      </fill>
    </dxf>
    <dxf>
      <fill>
        <patternFill>
          <bgColor rgb="FFFFFF00"/>
        </patternFill>
      </fill>
    </dxf>
    <dxf>
      <font>
        <color rgb="FFFF0000"/>
      </font>
      <fill>
        <patternFill>
          <bgColor rgb="FFFFFF00"/>
        </patternFill>
      </fill>
    </dxf>
    <dxf>
      <fill>
        <patternFill>
          <bgColor rgb="FFFFFF00"/>
        </patternFill>
      </fill>
    </dxf>
    <dxf>
      <font>
        <color rgb="FFFF0000"/>
      </font>
      <fill>
        <patternFill>
          <bgColor rgb="FFFFFF00"/>
        </patternFill>
      </fill>
    </dxf>
    <dxf>
      <fill>
        <patternFill>
          <bgColor rgb="FFFFFF0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ill>
        <patternFill>
          <bgColor rgb="FFFFFF00"/>
        </patternFill>
      </fill>
    </dxf>
    <dxf>
      <font>
        <color rgb="FFFF0000"/>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s>
  <tableStyles count="0" defaultTableStyle="TableStyleMedium2" defaultPivotStyle="PivotStyleLight16"/>
  <colors>
    <mruColors>
      <color rgb="FFFF66FF"/>
      <color rgb="FFF7DBF1"/>
      <color rgb="FFE197D5"/>
      <color rgb="FF000000"/>
      <color rgb="FFD9E1F2"/>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34</xdr:col>
      <xdr:colOff>317501</xdr:colOff>
      <xdr:row>1</xdr:row>
      <xdr:rowOff>45349</xdr:rowOff>
    </xdr:from>
    <xdr:to>
      <xdr:col>36</xdr:col>
      <xdr:colOff>533401</xdr:colOff>
      <xdr:row>3</xdr:row>
      <xdr:rowOff>87683</xdr:rowOff>
    </xdr:to>
    <xdr:pic>
      <xdr:nvPicPr>
        <xdr:cNvPr id="5" name="Picture 23">
          <a:extLst>
            <a:ext uri="{FF2B5EF4-FFF2-40B4-BE49-F238E27FC236}">
              <a16:creationId xmlns:a16="http://schemas.microsoft.com/office/drawing/2014/main" id="{8217C2E8-0F4F-47BB-B197-CBA3A193BEF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129751" y="362849"/>
          <a:ext cx="1524000" cy="673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374333</xdr:colOff>
      <xdr:row>0</xdr:row>
      <xdr:rowOff>296442</xdr:rowOff>
    </xdr:from>
    <xdr:to>
      <xdr:col>11</xdr:col>
      <xdr:colOff>314739</xdr:colOff>
      <xdr:row>6</xdr:row>
      <xdr:rowOff>39095</xdr:rowOff>
    </xdr:to>
    <xdr:sp macro="" textlink="">
      <xdr:nvSpPr>
        <xdr:cNvPr id="3" name="スクロール: 横 2">
          <a:extLst>
            <a:ext uri="{FF2B5EF4-FFF2-40B4-BE49-F238E27FC236}">
              <a16:creationId xmlns:a16="http://schemas.microsoft.com/office/drawing/2014/main" id="{B1399008-DE1B-4426-A294-C45721DFA929}"/>
            </a:ext>
          </a:extLst>
        </xdr:cNvPr>
        <xdr:cNvSpPr/>
      </xdr:nvSpPr>
      <xdr:spPr>
        <a:xfrm>
          <a:off x="374333" y="296442"/>
          <a:ext cx="7109035" cy="1430853"/>
        </a:xfrm>
        <a:prstGeom prst="horizontalScrol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eiryo UI" panose="020B0604030504040204" pitchFamily="50" charset="-128"/>
              <a:ea typeface="Meiryo UI" panose="020B0604030504040204" pitchFamily="50" charset="-128"/>
            </a:rPr>
            <a:t>[Rule]</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rPr>
            <a:t>-</a:t>
          </a:r>
          <a:r>
            <a:rPr kumimoji="1" lang="en-US" altLang="ja-JP" sz="1100" baseline="0">
              <a:latin typeface="Meiryo UI" panose="020B0604030504040204" pitchFamily="50" charset="-128"/>
              <a:ea typeface="Meiryo UI" panose="020B0604030504040204" pitchFamily="50" charset="-128"/>
            </a:rPr>
            <a:t> </a:t>
          </a:r>
          <a:r>
            <a:rPr kumimoji="1" lang="en-US" altLang="ja-JP" sz="1100">
              <a:latin typeface="Meiryo UI" panose="020B0604030504040204" pitchFamily="50" charset="-128"/>
              <a:ea typeface="Meiryo UI" panose="020B0604030504040204" pitchFamily="50" charset="-128"/>
            </a:rPr>
            <a:t>The selected pin cell is yellow. </a:t>
          </a:r>
        </a:p>
        <a:p>
          <a:pPr algn="l"/>
          <a:r>
            <a:rPr kumimoji="1" lang="en-US" altLang="ja-JP" sz="1100">
              <a:latin typeface="Meiryo UI" panose="020B0604030504040204" pitchFamily="50" charset="-128"/>
              <a:ea typeface="Meiryo UI" panose="020B0604030504040204" pitchFamily="50" charset="-128"/>
            </a:rPr>
            <a:t>- Duplicate pin names are red. </a:t>
          </a:r>
        </a:p>
        <a:p>
          <a:pPr algn="l"/>
          <a:r>
            <a:rPr kumimoji="1" lang="en-US" altLang="ja-JP" sz="1100">
              <a:latin typeface="Meiryo UI" panose="020B0604030504040204" pitchFamily="50" charset="-128"/>
              <a:ea typeface="Meiryo UI" panose="020B0604030504040204" pitchFamily="50" charset="-128"/>
            </a:rPr>
            <a:t>- Different functions are selected in same SCB ch. -&gt; Duplicate SCB function part turns purple.</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editAs="oneCell">
    <xdr:from>
      <xdr:col>66</xdr:col>
      <xdr:colOff>317501</xdr:colOff>
      <xdr:row>1</xdr:row>
      <xdr:rowOff>47465</xdr:rowOff>
    </xdr:from>
    <xdr:to>
      <xdr:col>68</xdr:col>
      <xdr:colOff>533402</xdr:colOff>
      <xdr:row>3</xdr:row>
      <xdr:rowOff>87682</xdr:rowOff>
    </xdr:to>
    <xdr:pic>
      <xdr:nvPicPr>
        <xdr:cNvPr id="4" name="Picture 23">
          <a:extLst>
            <a:ext uri="{FF2B5EF4-FFF2-40B4-BE49-F238E27FC236}">
              <a16:creationId xmlns:a16="http://schemas.microsoft.com/office/drawing/2014/main" id="{A98AEF65-9FF8-484D-BC10-3397FEC67A6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538027" y="363851"/>
          <a:ext cx="1526007" cy="67298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190902</xdr:colOff>
      <xdr:row>7</xdr:row>
      <xdr:rowOff>141993</xdr:rowOff>
    </xdr:from>
    <xdr:to>
      <xdr:col>4</xdr:col>
      <xdr:colOff>118331</xdr:colOff>
      <xdr:row>8</xdr:row>
      <xdr:rowOff>132922</xdr:rowOff>
    </xdr:to>
    <xdr:sp macro="" textlink="">
      <xdr:nvSpPr>
        <xdr:cNvPr id="2" name="フローチャート: 結合子 1">
          <a:extLst>
            <a:ext uri="{FF2B5EF4-FFF2-40B4-BE49-F238E27FC236}">
              <a16:creationId xmlns:a16="http://schemas.microsoft.com/office/drawing/2014/main" id="{1523C4F3-81DC-46A5-AD0B-F7B41031703D}"/>
            </a:ext>
          </a:extLst>
        </xdr:cNvPr>
        <xdr:cNvSpPr/>
      </xdr:nvSpPr>
      <xdr:spPr>
        <a:xfrm>
          <a:off x="2781702" y="2984253"/>
          <a:ext cx="178889" cy="18142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editAs="oneCell">
    <xdr:from>
      <xdr:col>52</xdr:col>
      <xdr:colOff>317501</xdr:colOff>
      <xdr:row>1</xdr:row>
      <xdr:rowOff>45348</xdr:rowOff>
    </xdr:from>
    <xdr:to>
      <xdr:col>54</xdr:col>
      <xdr:colOff>533401</xdr:colOff>
      <xdr:row>3</xdr:row>
      <xdr:rowOff>83448</xdr:rowOff>
    </xdr:to>
    <xdr:pic>
      <xdr:nvPicPr>
        <xdr:cNvPr id="5" name="Picture 23">
          <a:extLst>
            <a:ext uri="{FF2B5EF4-FFF2-40B4-BE49-F238E27FC236}">
              <a16:creationId xmlns:a16="http://schemas.microsoft.com/office/drawing/2014/main" id="{A5DDFD4B-8BDF-4878-8FFE-7333DC3389B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309601" y="362848"/>
          <a:ext cx="1524000" cy="673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34</xdr:col>
      <xdr:colOff>317501</xdr:colOff>
      <xdr:row>1</xdr:row>
      <xdr:rowOff>45347</xdr:rowOff>
    </xdr:from>
    <xdr:to>
      <xdr:col>36</xdr:col>
      <xdr:colOff>533403</xdr:colOff>
      <xdr:row>3</xdr:row>
      <xdr:rowOff>86622</xdr:rowOff>
    </xdr:to>
    <xdr:pic>
      <xdr:nvPicPr>
        <xdr:cNvPr id="5" name="Picture 23">
          <a:extLst>
            <a:ext uri="{FF2B5EF4-FFF2-40B4-BE49-F238E27FC236}">
              <a16:creationId xmlns:a16="http://schemas.microsoft.com/office/drawing/2014/main" id="{746ADD2F-DD8B-4E61-8FDB-51793FFC5FE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568151" y="362847"/>
          <a:ext cx="1524000" cy="6731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66</xdr:col>
      <xdr:colOff>317501</xdr:colOff>
      <xdr:row>1</xdr:row>
      <xdr:rowOff>45347</xdr:rowOff>
    </xdr:from>
    <xdr:to>
      <xdr:col>68</xdr:col>
      <xdr:colOff>533401</xdr:colOff>
      <xdr:row>3</xdr:row>
      <xdr:rowOff>77626</xdr:rowOff>
    </xdr:to>
    <xdr:pic>
      <xdr:nvPicPr>
        <xdr:cNvPr id="4" name="Picture 23">
          <a:extLst>
            <a:ext uri="{FF2B5EF4-FFF2-40B4-BE49-F238E27FC236}">
              <a16:creationId xmlns:a16="http://schemas.microsoft.com/office/drawing/2014/main" id="{63AE02FE-98EC-4525-87C8-E943B7AD825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581851" y="331097"/>
          <a:ext cx="1524000" cy="673100"/>
        </a:xfrm>
        <a:prstGeom prst="rect">
          <a:avLst/>
        </a:prstGeom>
      </xdr:spPr>
    </xdr:pic>
    <xdr:clientData/>
  </xdr:twoCellAnchor>
  <xdr:twoCellAnchor>
    <xdr:from>
      <xdr:col>0</xdr:col>
      <xdr:colOff>191823</xdr:colOff>
      <xdr:row>0</xdr:row>
      <xdr:rowOff>224896</xdr:rowOff>
    </xdr:from>
    <xdr:to>
      <xdr:col>12</xdr:col>
      <xdr:colOff>386057</xdr:colOff>
      <xdr:row>5</xdr:row>
      <xdr:rowOff>59531</xdr:rowOff>
    </xdr:to>
    <xdr:sp macro="" textlink="">
      <xdr:nvSpPr>
        <xdr:cNvPr id="5" name="スクロール: 横 4">
          <a:extLst>
            <a:ext uri="{FF2B5EF4-FFF2-40B4-BE49-F238E27FC236}">
              <a16:creationId xmlns:a16="http://schemas.microsoft.com/office/drawing/2014/main" id="{54DBD2FF-890B-4763-B24E-F7F0350555CE}"/>
            </a:ext>
          </a:extLst>
        </xdr:cNvPr>
        <xdr:cNvSpPr/>
      </xdr:nvSpPr>
      <xdr:spPr>
        <a:xfrm>
          <a:off x="191823" y="224896"/>
          <a:ext cx="7080015" cy="1422135"/>
        </a:xfrm>
        <a:prstGeom prst="horizontalScrol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eiryo UI" panose="020B0604030504040204" pitchFamily="50" charset="-128"/>
              <a:ea typeface="Meiryo UI" panose="020B0604030504040204" pitchFamily="50" charset="-128"/>
            </a:rPr>
            <a:t>[Rule]</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rPr>
            <a:t>-</a:t>
          </a:r>
          <a:r>
            <a:rPr kumimoji="1" lang="en-US" altLang="ja-JP" sz="1100" baseline="0">
              <a:latin typeface="Meiryo UI" panose="020B0604030504040204" pitchFamily="50" charset="-128"/>
              <a:ea typeface="Meiryo UI" panose="020B0604030504040204" pitchFamily="50" charset="-128"/>
            </a:rPr>
            <a:t> </a:t>
          </a:r>
          <a:r>
            <a:rPr kumimoji="1" lang="en-US" altLang="ja-JP" sz="1100">
              <a:latin typeface="Meiryo UI" panose="020B0604030504040204" pitchFamily="50" charset="-128"/>
              <a:ea typeface="Meiryo UI" panose="020B0604030504040204" pitchFamily="50" charset="-128"/>
            </a:rPr>
            <a:t>The selected pin cell is yellow. </a:t>
          </a:r>
        </a:p>
        <a:p>
          <a:pPr algn="l"/>
          <a:r>
            <a:rPr kumimoji="1" lang="en-US" altLang="ja-JP" sz="1100">
              <a:latin typeface="Meiryo UI" panose="020B0604030504040204" pitchFamily="50" charset="-128"/>
              <a:ea typeface="Meiryo UI" panose="020B0604030504040204" pitchFamily="50" charset="-128"/>
            </a:rPr>
            <a:t>- Duplicate pin names are red. </a:t>
          </a:r>
        </a:p>
        <a:p>
          <a:pPr algn="l"/>
          <a:r>
            <a:rPr kumimoji="1" lang="en-US" altLang="ja-JP" sz="1100">
              <a:latin typeface="Meiryo UI" panose="020B0604030504040204" pitchFamily="50" charset="-128"/>
              <a:ea typeface="Meiryo UI" panose="020B0604030504040204" pitchFamily="50" charset="-128"/>
            </a:rPr>
            <a:t>- Different functions are selected in same SCB ch. -&gt; Duplicate SCB function part turns purple.</a:t>
          </a:r>
          <a:endParaRPr kumimoji="1" lang="ja-JP" altLang="en-US" sz="1100">
            <a:latin typeface="Meiryo UI" panose="020B0604030504040204" pitchFamily="50" charset="-128"/>
            <a:ea typeface="Meiryo UI" panose="020B0604030504040204" pitchFamily="50" charset="-128"/>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190902</xdr:colOff>
      <xdr:row>7</xdr:row>
      <xdr:rowOff>141993</xdr:rowOff>
    </xdr:from>
    <xdr:to>
      <xdr:col>4</xdr:col>
      <xdr:colOff>118331</xdr:colOff>
      <xdr:row>8</xdr:row>
      <xdr:rowOff>132922</xdr:rowOff>
    </xdr:to>
    <xdr:sp macro="" textlink="">
      <xdr:nvSpPr>
        <xdr:cNvPr id="2" name="フローチャート: 結合子 1">
          <a:extLst>
            <a:ext uri="{FF2B5EF4-FFF2-40B4-BE49-F238E27FC236}">
              <a16:creationId xmlns:a16="http://schemas.microsoft.com/office/drawing/2014/main" id="{F2D46D0A-A015-40A4-8DE6-545D0BD0038B}"/>
            </a:ext>
          </a:extLst>
        </xdr:cNvPr>
        <xdr:cNvSpPr/>
      </xdr:nvSpPr>
      <xdr:spPr>
        <a:xfrm>
          <a:off x="2603902" y="2300993"/>
          <a:ext cx="181429" cy="18142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editAs="oneCell">
    <xdr:from>
      <xdr:col>44</xdr:col>
      <xdr:colOff>317501</xdr:colOff>
      <xdr:row>1</xdr:row>
      <xdr:rowOff>45347</xdr:rowOff>
    </xdr:from>
    <xdr:to>
      <xdr:col>46</xdr:col>
      <xdr:colOff>533401</xdr:colOff>
      <xdr:row>3</xdr:row>
      <xdr:rowOff>146947</xdr:rowOff>
    </xdr:to>
    <xdr:pic>
      <xdr:nvPicPr>
        <xdr:cNvPr id="5" name="Picture 23">
          <a:extLst>
            <a:ext uri="{FF2B5EF4-FFF2-40B4-BE49-F238E27FC236}">
              <a16:creationId xmlns:a16="http://schemas.microsoft.com/office/drawing/2014/main" id="{C9DC32DD-68FF-4176-BBB8-EA2CE61EB76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811001" y="331097"/>
          <a:ext cx="1524000" cy="673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CE39B-1879-49CD-9FE9-D84653CC6FDA}">
  <dimension ref="A1:AQ204"/>
  <sheetViews>
    <sheetView zoomScale="87" zoomScaleNormal="87" workbookViewId="0">
      <pane xSplit="2" topLeftCell="C1" activePane="topRight" state="frozen"/>
      <selection activeCell="A4" sqref="A4"/>
      <selection pane="topRight" activeCell="M3" sqref="M3"/>
    </sheetView>
  </sheetViews>
  <sheetFormatPr defaultColWidth="8.83203125" defaultRowHeight="10.25" customHeight="1" x14ac:dyDescent="0.55000000000000004"/>
  <cols>
    <col min="1" max="1" width="4.58203125" style="2" customWidth="1"/>
    <col min="2" max="2" width="8.83203125" style="2"/>
    <col min="3" max="3" width="3.58203125" style="2" customWidth="1"/>
    <col min="4" max="4" width="9.58203125" style="2" customWidth="1"/>
    <col min="5" max="5" width="8.83203125" style="2" customWidth="1"/>
    <col min="6" max="7" width="11.08203125" style="2" customWidth="1"/>
    <col min="8" max="8" width="11.6640625" style="2" customWidth="1"/>
    <col min="9" max="9" width="15.5" style="2" bestFit="1" customWidth="1"/>
    <col min="10" max="10" width="19.1640625" style="2" customWidth="1"/>
    <col min="11" max="11" width="12.08203125" style="2" customWidth="1"/>
    <col min="12" max="16" width="17.58203125" style="2" customWidth="1"/>
    <col min="17" max="17" width="8.83203125" style="2" customWidth="1"/>
    <col min="18" max="18" width="11.9140625" style="2" customWidth="1"/>
    <col min="19" max="24" width="14.08203125" style="2" customWidth="1"/>
    <col min="25" max="26" width="17.6640625" style="2" customWidth="1"/>
    <col min="27" max="28" width="16.4140625" style="2" customWidth="1"/>
    <col min="29" max="30" width="24.83203125" style="2" customWidth="1"/>
    <col min="31" max="31" width="9.33203125" style="3" bestFit="1" customWidth="1"/>
    <col min="32" max="32" width="9.25" style="2" bestFit="1" customWidth="1"/>
    <col min="33" max="34" width="12.58203125" style="4" customWidth="1"/>
    <col min="35" max="37" width="8.58203125" style="4" customWidth="1"/>
    <col min="38" max="16384" width="8.83203125" style="2"/>
  </cols>
  <sheetData>
    <row r="1" spans="1:43" ht="25" customHeight="1" x14ac:dyDescent="0.55000000000000004">
      <c r="A1" s="1" t="s">
        <v>249</v>
      </c>
    </row>
    <row r="2" spans="1:43" ht="25" customHeight="1" x14ac:dyDescent="0.55000000000000004"/>
    <row r="3" spans="1:43" ht="25" customHeight="1" x14ac:dyDescent="0.55000000000000004"/>
    <row r="4" spans="1:43" ht="25" customHeight="1" x14ac:dyDescent="0.55000000000000004"/>
    <row r="5" spans="1:43" ht="25" customHeight="1" x14ac:dyDescent="0.55000000000000004">
      <c r="AH5" s="5"/>
      <c r="AK5" s="158" t="s">
        <v>1183</v>
      </c>
      <c r="AQ5" s="5"/>
    </row>
    <row r="6" spans="1:43" s="4" customFormat="1" ht="10" x14ac:dyDescent="0.55000000000000004">
      <c r="B6" s="4" t="s">
        <v>347</v>
      </c>
      <c r="E6" s="4" t="s">
        <v>353</v>
      </c>
      <c r="F6" s="4" t="s">
        <v>353</v>
      </c>
      <c r="G6" s="4" t="s">
        <v>348</v>
      </c>
      <c r="H6" s="4" t="s">
        <v>350</v>
      </c>
      <c r="I6" s="4" t="s">
        <v>1051</v>
      </c>
      <c r="J6" s="4" t="s">
        <v>1052</v>
      </c>
      <c r="K6" s="4" t="s">
        <v>1053</v>
      </c>
      <c r="L6" s="4" t="s">
        <v>1093</v>
      </c>
      <c r="M6" s="4" t="s">
        <v>1054</v>
      </c>
      <c r="N6" s="4" t="s">
        <v>1055</v>
      </c>
      <c r="O6" s="4" t="s">
        <v>1056</v>
      </c>
      <c r="P6" s="4" t="s">
        <v>1057</v>
      </c>
      <c r="Q6" s="4" t="s">
        <v>350</v>
      </c>
      <c r="R6" s="4" t="s">
        <v>350</v>
      </c>
      <c r="S6" s="4" t="s">
        <v>1059</v>
      </c>
      <c r="T6" s="4" t="s">
        <v>1060</v>
      </c>
      <c r="U6" s="4" t="s">
        <v>1060</v>
      </c>
      <c r="V6" s="4" t="s">
        <v>1055</v>
      </c>
      <c r="W6" s="4" t="s">
        <v>1057</v>
      </c>
      <c r="X6" s="4" t="s">
        <v>351</v>
      </c>
      <c r="Y6" s="4" t="s">
        <v>352</v>
      </c>
    </row>
    <row r="7" spans="1:43" ht="10.25" customHeight="1" x14ac:dyDescent="0.55000000000000004">
      <c r="B7" s="118" t="s">
        <v>602</v>
      </c>
      <c r="C7" s="120" t="s">
        <v>178</v>
      </c>
      <c r="D7" s="118" t="s">
        <v>256</v>
      </c>
      <c r="E7" s="6"/>
      <c r="F7" s="7"/>
      <c r="G7" s="7"/>
      <c r="H7" s="7"/>
      <c r="I7" s="119" t="s">
        <v>1</v>
      </c>
      <c r="J7" s="119"/>
      <c r="K7" s="119"/>
      <c r="L7" s="7"/>
      <c r="M7" s="7"/>
      <c r="N7" s="7"/>
      <c r="O7" s="7"/>
      <c r="P7" s="7"/>
      <c r="Q7" s="7"/>
      <c r="R7" s="7"/>
      <c r="S7" s="8"/>
      <c r="T7" s="118" t="s">
        <v>243</v>
      </c>
      <c r="U7" s="118"/>
      <c r="V7" s="118"/>
      <c r="W7" s="118"/>
      <c r="X7" s="118"/>
      <c r="Y7" s="98" t="s">
        <v>1028</v>
      </c>
      <c r="Z7" s="146"/>
      <c r="AA7" s="111" t="s">
        <v>184</v>
      </c>
      <c r="AB7" s="112"/>
      <c r="AC7" s="113"/>
      <c r="AD7" s="101" t="s">
        <v>634</v>
      </c>
      <c r="AE7" s="114" t="s">
        <v>362</v>
      </c>
      <c r="AF7" s="115"/>
      <c r="AG7" s="106" t="s">
        <v>255</v>
      </c>
      <c r="AH7" s="107"/>
    </row>
    <row r="8" spans="1:43" ht="10.25" customHeight="1" x14ac:dyDescent="0.55000000000000004">
      <c r="B8" s="118"/>
      <c r="C8" s="120"/>
      <c r="D8" s="118"/>
      <c r="E8" s="96" t="s">
        <v>245</v>
      </c>
      <c r="F8" s="96" t="s">
        <v>2</v>
      </c>
      <c r="G8" s="96" t="s">
        <v>3</v>
      </c>
      <c r="H8" s="96" t="s">
        <v>4</v>
      </c>
      <c r="I8" s="96" t="s">
        <v>5</v>
      </c>
      <c r="J8" s="96" t="s">
        <v>6</v>
      </c>
      <c r="K8" s="96" t="s">
        <v>7</v>
      </c>
      <c r="L8" s="96" t="s">
        <v>1020</v>
      </c>
      <c r="M8" s="96" t="s">
        <v>1021</v>
      </c>
      <c r="N8" s="96" t="s">
        <v>1022</v>
      </c>
      <c r="O8" s="96" t="s">
        <v>662</v>
      </c>
      <c r="P8" s="96" t="s">
        <v>1023</v>
      </c>
      <c r="Q8" s="96" t="s">
        <v>1019</v>
      </c>
      <c r="R8" s="96" t="s">
        <v>8</v>
      </c>
      <c r="S8" s="96" t="s">
        <v>9</v>
      </c>
      <c r="T8" s="96" t="s">
        <v>1024</v>
      </c>
      <c r="U8" s="96" t="s">
        <v>1025</v>
      </c>
      <c r="V8" s="96" t="s">
        <v>186</v>
      </c>
      <c r="W8" s="96" t="s">
        <v>889</v>
      </c>
      <c r="X8" s="96" t="s">
        <v>1026</v>
      </c>
      <c r="Y8" s="99"/>
      <c r="Z8" s="147"/>
      <c r="AA8" s="108" t="s">
        <v>185</v>
      </c>
      <c r="AB8" s="108" t="s">
        <v>633</v>
      </c>
      <c r="AC8" s="109" t="s">
        <v>253</v>
      </c>
      <c r="AD8" s="102"/>
      <c r="AE8" s="116" t="s">
        <v>361</v>
      </c>
      <c r="AF8" s="116" t="s">
        <v>359</v>
      </c>
      <c r="AG8" s="104" t="s">
        <v>631</v>
      </c>
      <c r="AH8" s="104" t="s">
        <v>632</v>
      </c>
    </row>
    <row r="9" spans="1:43" ht="10.25" customHeight="1" x14ac:dyDescent="0.55000000000000004">
      <c r="B9" s="118"/>
      <c r="C9" s="120"/>
      <c r="D9" s="118"/>
      <c r="E9" s="96" t="s">
        <v>246</v>
      </c>
      <c r="F9" s="96" t="s">
        <v>10</v>
      </c>
      <c r="G9" s="96" t="s">
        <v>11</v>
      </c>
      <c r="H9" s="96" t="s">
        <v>12</v>
      </c>
      <c r="I9" s="96" t="s">
        <v>13</v>
      </c>
      <c r="J9" s="96" t="s">
        <v>14</v>
      </c>
      <c r="K9" s="96" t="s">
        <v>15</v>
      </c>
      <c r="L9" s="96" t="s">
        <v>16</v>
      </c>
      <c r="M9" s="96" t="s">
        <v>17</v>
      </c>
      <c r="N9" s="96" t="s">
        <v>18</v>
      </c>
      <c r="O9" s="96" t="s">
        <v>1018</v>
      </c>
      <c r="P9" s="96" t="s">
        <v>666</v>
      </c>
      <c r="Q9" s="96" t="s">
        <v>667</v>
      </c>
      <c r="R9" s="96" t="s">
        <v>668</v>
      </c>
      <c r="S9" s="96" t="s">
        <v>600</v>
      </c>
      <c r="T9" s="96" t="s">
        <v>244</v>
      </c>
      <c r="U9" s="96" t="s">
        <v>187</v>
      </c>
      <c r="V9" s="96" t="s">
        <v>188</v>
      </c>
      <c r="W9" s="96" t="s">
        <v>891</v>
      </c>
      <c r="X9" s="96" t="s">
        <v>1027</v>
      </c>
      <c r="Y9" s="100"/>
      <c r="Z9" s="148"/>
      <c r="AA9" s="108"/>
      <c r="AB9" s="108"/>
      <c r="AC9" s="110"/>
      <c r="AD9" s="103"/>
      <c r="AE9" s="117"/>
      <c r="AF9" s="117"/>
      <c r="AG9" s="105"/>
      <c r="AH9" s="105"/>
    </row>
    <row r="10" spans="1:43" ht="10.25" customHeight="1" x14ac:dyDescent="0.55000000000000004">
      <c r="B10" s="9" t="s">
        <v>989</v>
      </c>
      <c r="C10" s="52">
        <v>1</v>
      </c>
      <c r="D10" s="11" t="s">
        <v>190</v>
      </c>
      <c r="E10" s="11" t="s">
        <v>190</v>
      </c>
      <c r="F10" s="11" t="s">
        <v>190</v>
      </c>
      <c r="G10" s="11" t="s">
        <v>190</v>
      </c>
      <c r="H10" s="11" t="s">
        <v>190</v>
      </c>
      <c r="I10" s="11" t="s">
        <v>190</v>
      </c>
      <c r="J10" s="11" t="s">
        <v>190</v>
      </c>
      <c r="K10" s="11" t="s">
        <v>190</v>
      </c>
      <c r="L10" s="11" t="s">
        <v>190</v>
      </c>
      <c r="M10" s="11" t="s">
        <v>190</v>
      </c>
      <c r="N10" s="11" t="s">
        <v>190</v>
      </c>
      <c r="O10" s="11" t="s">
        <v>190</v>
      </c>
      <c r="P10" s="11" t="s">
        <v>190</v>
      </c>
      <c r="Q10" s="11" t="s">
        <v>190</v>
      </c>
      <c r="R10" s="11" t="s">
        <v>190</v>
      </c>
      <c r="S10" s="11" t="s">
        <v>190</v>
      </c>
      <c r="T10" s="11" t="s">
        <v>190</v>
      </c>
      <c r="U10" s="11" t="s">
        <v>190</v>
      </c>
      <c r="V10" s="11" t="s">
        <v>190</v>
      </c>
      <c r="W10" s="11" t="s">
        <v>190</v>
      </c>
      <c r="X10" s="11" t="s">
        <v>190</v>
      </c>
      <c r="Y10" s="11" t="s">
        <v>190</v>
      </c>
      <c r="Z10" s="11" t="s">
        <v>190</v>
      </c>
      <c r="AA10" s="9" t="s">
        <v>989</v>
      </c>
      <c r="AB10" s="11" t="s">
        <v>190</v>
      </c>
      <c r="AC10" s="12"/>
      <c r="AD10" s="12" t="s">
        <v>1029</v>
      </c>
      <c r="AE10" s="13" t="s">
        <v>635</v>
      </c>
      <c r="AF10" s="14" t="s">
        <v>635</v>
      </c>
      <c r="AG10" s="12"/>
      <c r="AH10" s="12"/>
    </row>
    <row r="11" spans="1:43" ht="10.25" customHeight="1" x14ac:dyDescent="0.55000000000000004">
      <c r="B11" s="13" t="s">
        <v>996</v>
      </c>
      <c r="C11" s="13">
        <v>2</v>
      </c>
      <c r="D11" s="13" t="s">
        <v>996</v>
      </c>
      <c r="E11" s="11" t="s">
        <v>190</v>
      </c>
      <c r="F11" s="11" t="s">
        <v>190</v>
      </c>
      <c r="G11" s="11" t="s">
        <v>190</v>
      </c>
      <c r="H11" s="11" t="s">
        <v>190</v>
      </c>
      <c r="I11" s="11" t="s">
        <v>190</v>
      </c>
      <c r="J11" s="11" t="s">
        <v>190</v>
      </c>
      <c r="K11" s="11" t="s">
        <v>190</v>
      </c>
      <c r="L11" s="11" t="s">
        <v>190</v>
      </c>
      <c r="M11" s="11" t="s">
        <v>190</v>
      </c>
      <c r="N11" s="14" t="s">
        <v>763</v>
      </c>
      <c r="O11" s="14" t="s">
        <v>764</v>
      </c>
      <c r="P11" s="14" t="s">
        <v>975</v>
      </c>
      <c r="Q11" s="11" t="s">
        <v>190</v>
      </c>
      <c r="R11" s="14" t="s">
        <v>795</v>
      </c>
      <c r="S11" s="14" t="s">
        <v>1160</v>
      </c>
      <c r="T11" s="11" t="s">
        <v>190</v>
      </c>
      <c r="U11" s="11" t="s">
        <v>190</v>
      </c>
      <c r="V11" s="11" t="s">
        <v>190</v>
      </c>
      <c r="W11" s="11" t="s">
        <v>190</v>
      </c>
      <c r="X11" s="11" t="s">
        <v>190</v>
      </c>
      <c r="Y11" s="11" t="s">
        <v>190</v>
      </c>
      <c r="Z11" s="11" t="s">
        <v>190</v>
      </c>
      <c r="AA11" s="15"/>
      <c r="AB11" s="11" t="s">
        <v>190</v>
      </c>
      <c r="AC11" s="12" t="s">
        <v>1182</v>
      </c>
      <c r="AD11" s="12"/>
      <c r="AE11" s="13" t="s">
        <v>1041</v>
      </c>
      <c r="AF11" s="14" t="s">
        <v>1048</v>
      </c>
      <c r="AG11" s="12"/>
      <c r="AH11" s="12"/>
    </row>
    <row r="12" spans="1:43" ht="10.25" customHeight="1" x14ac:dyDescent="0.55000000000000004">
      <c r="B12" s="13" t="s">
        <v>98</v>
      </c>
      <c r="C12" s="13">
        <v>3</v>
      </c>
      <c r="D12" s="13" t="s">
        <v>98</v>
      </c>
      <c r="E12" s="11" t="s">
        <v>190</v>
      </c>
      <c r="F12" s="11" t="s">
        <v>190</v>
      </c>
      <c r="G12" s="11" t="s">
        <v>190</v>
      </c>
      <c r="H12" s="11" t="s">
        <v>190</v>
      </c>
      <c r="I12" s="11" t="s">
        <v>190</v>
      </c>
      <c r="J12" s="11" t="s">
        <v>190</v>
      </c>
      <c r="K12" s="11" t="s">
        <v>190</v>
      </c>
      <c r="L12" s="11" t="s">
        <v>190</v>
      </c>
      <c r="M12" s="11" t="s">
        <v>190</v>
      </c>
      <c r="N12" s="14" t="s">
        <v>766</v>
      </c>
      <c r="O12" s="14" t="s">
        <v>767</v>
      </c>
      <c r="P12" s="14" t="s">
        <v>976</v>
      </c>
      <c r="Q12" s="11" t="s">
        <v>190</v>
      </c>
      <c r="R12" s="11" t="s">
        <v>190</v>
      </c>
      <c r="S12" s="14" t="s">
        <v>768</v>
      </c>
      <c r="T12" s="11" t="s">
        <v>190</v>
      </c>
      <c r="U12" s="11" t="s">
        <v>190</v>
      </c>
      <c r="V12" s="11" t="s">
        <v>190</v>
      </c>
      <c r="W12" s="11" t="s">
        <v>190</v>
      </c>
      <c r="X12" s="11" t="s">
        <v>190</v>
      </c>
      <c r="Y12" s="11" t="s">
        <v>190</v>
      </c>
      <c r="Z12" s="11" t="s">
        <v>190</v>
      </c>
      <c r="AA12" s="15"/>
      <c r="AB12" s="11" t="s">
        <v>190</v>
      </c>
      <c r="AC12" s="12" t="s">
        <v>1182</v>
      </c>
      <c r="AD12" s="12"/>
      <c r="AE12" s="13" t="s">
        <v>1041</v>
      </c>
      <c r="AF12" s="14" t="s">
        <v>1048</v>
      </c>
      <c r="AG12" s="12"/>
      <c r="AH12" s="12"/>
    </row>
    <row r="13" spans="1:43" ht="10.25" customHeight="1" x14ac:dyDescent="0.55000000000000004">
      <c r="B13" s="13" t="s">
        <v>100</v>
      </c>
      <c r="C13" s="13">
        <v>4</v>
      </c>
      <c r="D13" s="13" t="s">
        <v>100</v>
      </c>
      <c r="E13" s="11" t="s">
        <v>190</v>
      </c>
      <c r="F13" s="11" t="s">
        <v>190</v>
      </c>
      <c r="G13" s="11" t="s">
        <v>190</v>
      </c>
      <c r="H13" s="11" t="s">
        <v>190</v>
      </c>
      <c r="I13" s="11" t="s">
        <v>190</v>
      </c>
      <c r="J13" s="11" t="s">
        <v>190</v>
      </c>
      <c r="K13" s="11" t="s">
        <v>190</v>
      </c>
      <c r="L13" s="11" t="s">
        <v>190</v>
      </c>
      <c r="M13" s="11" t="s">
        <v>190</v>
      </c>
      <c r="N13" s="14" t="s">
        <v>769</v>
      </c>
      <c r="O13" s="14" t="s">
        <v>770</v>
      </c>
      <c r="P13" s="11" t="s">
        <v>190</v>
      </c>
      <c r="Q13" s="11" t="s">
        <v>190</v>
      </c>
      <c r="R13" s="11" t="s">
        <v>190</v>
      </c>
      <c r="S13" s="14" t="s">
        <v>1058</v>
      </c>
      <c r="T13" s="11" t="s">
        <v>190</v>
      </c>
      <c r="U13" s="11" t="s">
        <v>190</v>
      </c>
      <c r="V13" s="11" t="s">
        <v>190</v>
      </c>
      <c r="W13" s="11" t="s">
        <v>190</v>
      </c>
      <c r="X13" s="11" t="s">
        <v>190</v>
      </c>
      <c r="Y13" s="11" t="s">
        <v>190</v>
      </c>
      <c r="Z13" s="11" t="s">
        <v>190</v>
      </c>
      <c r="AA13" s="15"/>
      <c r="AB13" s="11" t="s">
        <v>190</v>
      </c>
      <c r="AC13" s="12" t="s">
        <v>1182</v>
      </c>
      <c r="AD13" s="12"/>
      <c r="AE13" s="13" t="s">
        <v>1041</v>
      </c>
      <c r="AF13" s="14" t="s">
        <v>1048</v>
      </c>
      <c r="AG13" s="12"/>
      <c r="AH13" s="12"/>
    </row>
    <row r="14" spans="1:43" ht="10.25" customHeight="1" x14ac:dyDescent="0.55000000000000004">
      <c r="B14" s="13" t="s">
        <v>102</v>
      </c>
      <c r="C14" s="13">
        <v>5</v>
      </c>
      <c r="D14" s="13" t="s">
        <v>102</v>
      </c>
      <c r="E14" s="11" t="s">
        <v>190</v>
      </c>
      <c r="F14" s="11" t="s">
        <v>190</v>
      </c>
      <c r="G14" s="11" t="s">
        <v>190</v>
      </c>
      <c r="H14" s="11" t="s">
        <v>190</v>
      </c>
      <c r="I14" s="11" t="s">
        <v>190</v>
      </c>
      <c r="J14" s="11" t="s">
        <v>190</v>
      </c>
      <c r="K14" s="11" t="s">
        <v>190</v>
      </c>
      <c r="L14" s="11" t="s">
        <v>190</v>
      </c>
      <c r="M14" s="11" t="s">
        <v>190</v>
      </c>
      <c r="N14" s="14" t="s">
        <v>771</v>
      </c>
      <c r="O14" s="14" t="s">
        <v>772</v>
      </c>
      <c r="P14" s="11" t="s">
        <v>190</v>
      </c>
      <c r="Q14" s="11" t="s">
        <v>190</v>
      </c>
      <c r="R14" s="11" t="s">
        <v>190</v>
      </c>
      <c r="S14" s="14" t="s">
        <v>773</v>
      </c>
      <c r="T14" s="11" t="s">
        <v>190</v>
      </c>
      <c r="U14" s="11" t="s">
        <v>190</v>
      </c>
      <c r="V14" s="11" t="s">
        <v>190</v>
      </c>
      <c r="W14" s="11" t="s">
        <v>190</v>
      </c>
      <c r="X14" s="11" t="s">
        <v>190</v>
      </c>
      <c r="Y14" s="11" t="s">
        <v>190</v>
      </c>
      <c r="Z14" s="11" t="s">
        <v>190</v>
      </c>
      <c r="AA14" s="15"/>
      <c r="AB14" s="11" t="s">
        <v>190</v>
      </c>
      <c r="AC14" s="12" t="s">
        <v>1182</v>
      </c>
      <c r="AD14" s="12"/>
      <c r="AE14" s="13" t="s">
        <v>1041</v>
      </c>
      <c r="AF14" s="14" t="s">
        <v>1048</v>
      </c>
      <c r="AG14" s="12"/>
      <c r="AH14" s="12"/>
    </row>
    <row r="15" spans="1:43" ht="10.25" customHeight="1" x14ac:dyDescent="0.55000000000000004">
      <c r="B15" s="9" t="s">
        <v>989</v>
      </c>
      <c r="C15" s="13">
        <v>6</v>
      </c>
      <c r="D15" s="11" t="s">
        <v>190</v>
      </c>
      <c r="E15" s="11" t="s">
        <v>190</v>
      </c>
      <c r="F15" s="11" t="s">
        <v>190</v>
      </c>
      <c r="G15" s="11" t="s">
        <v>190</v>
      </c>
      <c r="H15" s="11" t="s">
        <v>190</v>
      </c>
      <c r="I15" s="11" t="s">
        <v>190</v>
      </c>
      <c r="J15" s="11" t="s">
        <v>190</v>
      </c>
      <c r="K15" s="11" t="s">
        <v>190</v>
      </c>
      <c r="L15" s="11" t="s">
        <v>190</v>
      </c>
      <c r="M15" s="11" t="s">
        <v>190</v>
      </c>
      <c r="N15" s="11" t="s">
        <v>190</v>
      </c>
      <c r="O15" s="11" t="s">
        <v>190</v>
      </c>
      <c r="P15" s="11" t="s">
        <v>190</v>
      </c>
      <c r="Q15" s="11" t="s">
        <v>190</v>
      </c>
      <c r="R15" s="11" t="s">
        <v>190</v>
      </c>
      <c r="S15" s="11" t="s">
        <v>190</v>
      </c>
      <c r="T15" s="11" t="s">
        <v>190</v>
      </c>
      <c r="U15" s="11" t="s">
        <v>190</v>
      </c>
      <c r="V15" s="11" t="s">
        <v>190</v>
      </c>
      <c r="W15" s="11" t="s">
        <v>190</v>
      </c>
      <c r="X15" s="11" t="s">
        <v>190</v>
      </c>
      <c r="Y15" s="11" t="s">
        <v>190</v>
      </c>
      <c r="Z15" s="11" t="s">
        <v>190</v>
      </c>
      <c r="AA15" s="9" t="s">
        <v>989</v>
      </c>
      <c r="AB15" s="11" t="s">
        <v>190</v>
      </c>
      <c r="AC15" s="12"/>
      <c r="AD15" s="12" t="s">
        <v>1029</v>
      </c>
      <c r="AE15" s="13" t="s">
        <v>360</v>
      </c>
      <c r="AF15" s="14" t="s">
        <v>360</v>
      </c>
      <c r="AG15" s="12"/>
      <c r="AH15" s="12"/>
    </row>
    <row r="16" spans="1:43" ht="10.25" customHeight="1" x14ac:dyDescent="0.55000000000000004">
      <c r="B16" s="16" t="s">
        <v>990</v>
      </c>
      <c r="C16" s="13">
        <v>7</v>
      </c>
      <c r="D16" s="11" t="s">
        <v>190</v>
      </c>
      <c r="E16" s="11" t="s">
        <v>190</v>
      </c>
      <c r="F16" s="11" t="s">
        <v>190</v>
      </c>
      <c r="G16" s="11" t="s">
        <v>190</v>
      </c>
      <c r="H16" s="11" t="s">
        <v>190</v>
      </c>
      <c r="I16" s="11" t="s">
        <v>190</v>
      </c>
      <c r="J16" s="11" t="s">
        <v>190</v>
      </c>
      <c r="K16" s="11" t="s">
        <v>190</v>
      </c>
      <c r="L16" s="11" t="s">
        <v>190</v>
      </c>
      <c r="M16" s="11" t="s">
        <v>190</v>
      </c>
      <c r="N16" s="11" t="s">
        <v>190</v>
      </c>
      <c r="O16" s="11" t="s">
        <v>190</v>
      </c>
      <c r="P16" s="11" t="s">
        <v>190</v>
      </c>
      <c r="Q16" s="11" t="s">
        <v>190</v>
      </c>
      <c r="R16" s="11" t="s">
        <v>190</v>
      </c>
      <c r="S16" s="11" t="s">
        <v>190</v>
      </c>
      <c r="T16" s="11" t="s">
        <v>190</v>
      </c>
      <c r="U16" s="11" t="s">
        <v>190</v>
      </c>
      <c r="V16" s="11" t="s">
        <v>190</v>
      </c>
      <c r="W16" s="11" t="s">
        <v>190</v>
      </c>
      <c r="X16" s="11" t="s">
        <v>190</v>
      </c>
      <c r="Y16" s="11" t="s">
        <v>190</v>
      </c>
      <c r="Z16" s="11" t="s">
        <v>190</v>
      </c>
      <c r="AA16" s="16" t="s">
        <v>990</v>
      </c>
      <c r="AB16" s="11" t="s">
        <v>190</v>
      </c>
      <c r="AC16" s="12"/>
      <c r="AD16" s="12" t="s">
        <v>1030</v>
      </c>
      <c r="AE16" s="13" t="s">
        <v>360</v>
      </c>
      <c r="AF16" s="14" t="s">
        <v>360</v>
      </c>
      <c r="AG16" s="12"/>
      <c r="AH16" s="12"/>
    </row>
    <row r="17" spans="2:34" ht="10.25" customHeight="1" x14ac:dyDescent="0.55000000000000004">
      <c r="B17" s="13" t="s">
        <v>997</v>
      </c>
      <c r="C17" s="13">
        <v>8</v>
      </c>
      <c r="D17" s="13" t="s">
        <v>997</v>
      </c>
      <c r="E17" s="11" t="s">
        <v>190</v>
      </c>
      <c r="F17" s="11" t="s">
        <v>190</v>
      </c>
      <c r="G17" s="11" t="s">
        <v>190</v>
      </c>
      <c r="H17" s="11" t="s">
        <v>190</v>
      </c>
      <c r="I17" s="11" t="s">
        <v>190</v>
      </c>
      <c r="J17" s="11" t="s">
        <v>190</v>
      </c>
      <c r="K17" s="11" t="s">
        <v>190</v>
      </c>
      <c r="L17" s="11" t="s">
        <v>190</v>
      </c>
      <c r="M17" s="11" t="s">
        <v>190</v>
      </c>
      <c r="N17" s="14" t="s">
        <v>774</v>
      </c>
      <c r="O17" s="11" t="s">
        <v>190</v>
      </c>
      <c r="P17" s="11" t="s">
        <v>190</v>
      </c>
      <c r="Q17" s="11" t="s">
        <v>190</v>
      </c>
      <c r="R17" s="11" t="s">
        <v>190</v>
      </c>
      <c r="S17" s="14" t="s">
        <v>775</v>
      </c>
      <c r="T17" s="11" t="s">
        <v>190</v>
      </c>
      <c r="U17" s="11" t="s">
        <v>190</v>
      </c>
      <c r="V17" s="11" t="s">
        <v>190</v>
      </c>
      <c r="W17" s="11" t="s">
        <v>190</v>
      </c>
      <c r="X17" s="11" t="s">
        <v>190</v>
      </c>
      <c r="Y17" s="11" t="s">
        <v>190</v>
      </c>
      <c r="Z17" s="11" t="s">
        <v>190</v>
      </c>
      <c r="AA17" s="15"/>
      <c r="AB17" s="11" t="s">
        <v>190</v>
      </c>
      <c r="AC17" s="12" t="s">
        <v>1182</v>
      </c>
      <c r="AD17" s="12"/>
      <c r="AE17" s="13" t="s">
        <v>1041</v>
      </c>
      <c r="AF17" s="14" t="s">
        <v>1048</v>
      </c>
      <c r="AG17" s="12"/>
      <c r="AH17" s="12"/>
    </row>
    <row r="18" spans="2:34" ht="10.25" customHeight="1" x14ac:dyDescent="0.55000000000000004">
      <c r="B18" s="13" t="s">
        <v>776</v>
      </c>
      <c r="C18" s="13">
        <v>9</v>
      </c>
      <c r="D18" s="13" t="s">
        <v>776</v>
      </c>
      <c r="E18" s="11" t="s">
        <v>190</v>
      </c>
      <c r="F18" s="11" t="s">
        <v>190</v>
      </c>
      <c r="G18" s="11" t="s">
        <v>190</v>
      </c>
      <c r="H18" s="11" t="s">
        <v>190</v>
      </c>
      <c r="I18" s="11" t="s">
        <v>190</v>
      </c>
      <c r="J18" s="11" t="s">
        <v>190</v>
      </c>
      <c r="K18" s="11" t="s">
        <v>190</v>
      </c>
      <c r="L18" s="11" t="s">
        <v>190</v>
      </c>
      <c r="M18" s="11" t="s">
        <v>190</v>
      </c>
      <c r="N18" s="11" t="s">
        <v>190</v>
      </c>
      <c r="O18" s="11" t="s">
        <v>190</v>
      </c>
      <c r="P18" s="11" t="s">
        <v>190</v>
      </c>
      <c r="Q18" s="11" t="s">
        <v>190</v>
      </c>
      <c r="R18" s="14" t="s">
        <v>175</v>
      </c>
      <c r="S18" s="14" t="s">
        <v>777</v>
      </c>
      <c r="T18" s="11" t="s">
        <v>190</v>
      </c>
      <c r="U18" s="11" t="s">
        <v>190</v>
      </c>
      <c r="V18" s="11" t="s">
        <v>190</v>
      </c>
      <c r="W18" s="11" t="s">
        <v>190</v>
      </c>
      <c r="X18" s="11" t="s">
        <v>190</v>
      </c>
      <c r="Y18" s="11" t="s">
        <v>190</v>
      </c>
      <c r="Z18" s="11" t="s">
        <v>190</v>
      </c>
      <c r="AA18" s="15"/>
      <c r="AB18" s="11" t="s">
        <v>190</v>
      </c>
      <c r="AC18" s="12"/>
      <c r="AD18" s="12"/>
      <c r="AE18" s="13" t="s">
        <v>1041</v>
      </c>
      <c r="AF18" s="14" t="s">
        <v>1048</v>
      </c>
      <c r="AG18" s="12"/>
      <c r="AH18" s="12"/>
    </row>
    <row r="19" spans="2:34" ht="10.25" customHeight="1" x14ac:dyDescent="0.55000000000000004">
      <c r="B19" s="13" t="s">
        <v>778</v>
      </c>
      <c r="C19" s="13">
        <v>10</v>
      </c>
      <c r="D19" s="13" t="s">
        <v>778</v>
      </c>
      <c r="E19" s="11" t="s">
        <v>190</v>
      </c>
      <c r="F19" s="11" t="s">
        <v>190</v>
      </c>
      <c r="G19" s="11" t="s">
        <v>190</v>
      </c>
      <c r="H19" s="11" t="s">
        <v>190</v>
      </c>
      <c r="I19" s="11" t="s">
        <v>190</v>
      </c>
      <c r="J19" s="11" t="s">
        <v>190</v>
      </c>
      <c r="K19" s="11" t="s">
        <v>190</v>
      </c>
      <c r="L19" s="11" t="s">
        <v>190</v>
      </c>
      <c r="M19" s="11" t="s">
        <v>190</v>
      </c>
      <c r="N19" s="14" t="s">
        <v>779</v>
      </c>
      <c r="O19" s="14" t="s">
        <v>780</v>
      </c>
      <c r="P19" s="14" t="s">
        <v>977</v>
      </c>
      <c r="Q19" s="11" t="s">
        <v>190</v>
      </c>
      <c r="R19" s="11" t="s">
        <v>190</v>
      </c>
      <c r="S19" s="14" t="s">
        <v>781</v>
      </c>
      <c r="T19" s="11" t="s">
        <v>190</v>
      </c>
      <c r="U19" s="11" t="s">
        <v>190</v>
      </c>
      <c r="V19" s="11" t="s">
        <v>190</v>
      </c>
      <c r="W19" s="11" t="s">
        <v>190</v>
      </c>
      <c r="X19" s="11" t="s">
        <v>190</v>
      </c>
      <c r="Y19" s="11" t="s">
        <v>190</v>
      </c>
      <c r="Z19" s="11" t="s">
        <v>190</v>
      </c>
      <c r="AA19" s="15"/>
      <c r="AB19" s="11" t="s">
        <v>190</v>
      </c>
      <c r="AC19" s="12" t="s">
        <v>1182</v>
      </c>
      <c r="AD19" s="12"/>
      <c r="AE19" s="13" t="s">
        <v>1041</v>
      </c>
      <c r="AF19" s="14" t="s">
        <v>1048</v>
      </c>
      <c r="AG19" s="12"/>
      <c r="AH19" s="12"/>
    </row>
    <row r="20" spans="2:34" ht="10.25" customHeight="1" x14ac:dyDescent="0.55000000000000004">
      <c r="B20" s="13" t="s">
        <v>782</v>
      </c>
      <c r="C20" s="13">
        <v>11</v>
      </c>
      <c r="D20" s="13" t="s">
        <v>782</v>
      </c>
      <c r="E20" s="11" t="s">
        <v>190</v>
      </c>
      <c r="F20" s="11" t="s">
        <v>190</v>
      </c>
      <c r="G20" s="11" t="s">
        <v>190</v>
      </c>
      <c r="H20" s="11" t="s">
        <v>190</v>
      </c>
      <c r="I20" s="11" t="s">
        <v>190</v>
      </c>
      <c r="J20" s="11" t="s">
        <v>190</v>
      </c>
      <c r="K20" s="11" t="s">
        <v>190</v>
      </c>
      <c r="L20" s="11" t="s">
        <v>190</v>
      </c>
      <c r="M20" s="11" t="s">
        <v>190</v>
      </c>
      <c r="N20" s="14" t="s">
        <v>783</v>
      </c>
      <c r="O20" s="14" t="s">
        <v>784</v>
      </c>
      <c r="P20" s="14" t="s">
        <v>978</v>
      </c>
      <c r="Q20" s="11" t="s">
        <v>190</v>
      </c>
      <c r="R20" s="14" t="s">
        <v>659</v>
      </c>
      <c r="S20" s="14" t="s">
        <v>785</v>
      </c>
      <c r="T20" s="11" t="s">
        <v>190</v>
      </c>
      <c r="U20" s="11" t="s">
        <v>190</v>
      </c>
      <c r="V20" s="11" t="s">
        <v>190</v>
      </c>
      <c r="W20" s="11" t="s">
        <v>190</v>
      </c>
      <c r="X20" s="11" t="s">
        <v>190</v>
      </c>
      <c r="Y20" s="11" t="s">
        <v>190</v>
      </c>
      <c r="Z20" s="11" t="s">
        <v>190</v>
      </c>
      <c r="AA20" s="15"/>
      <c r="AB20" s="11" t="s">
        <v>190</v>
      </c>
      <c r="AC20" s="12" t="s">
        <v>1182</v>
      </c>
      <c r="AD20" s="12"/>
      <c r="AE20" s="13" t="s">
        <v>1041</v>
      </c>
      <c r="AF20" s="14" t="s">
        <v>1048</v>
      </c>
      <c r="AG20" s="12"/>
      <c r="AH20" s="12"/>
    </row>
    <row r="21" spans="2:34" ht="10.25" customHeight="1" x14ac:dyDescent="0.55000000000000004">
      <c r="B21" s="9" t="s">
        <v>989</v>
      </c>
      <c r="C21" s="13">
        <v>12</v>
      </c>
      <c r="D21" s="11" t="s">
        <v>190</v>
      </c>
      <c r="E21" s="11" t="s">
        <v>190</v>
      </c>
      <c r="F21" s="11" t="s">
        <v>190</v>
      </c>
      <c r="G21" s="11" t="s">
        <v>190</v>
      </c>
      <c r="H21" s="11" t="s">
        <v>190</v>
      </c>
      <c r="I21" s="11" t="s">
        <v>190</v>
      </c>
      <c r="J21" s="11" t="s">
        <v>190</v>
      </c>
      <c r="K21" s="11" t="s">
        <v>190</v>
      </c>
      <c r="L21" s="11" t="s">
        <v>190</v>
      </c>
      <c r="M21" s="11" t="s">
        <v>190</v>
      </c>
      <c r="N21" s="11" t="s">
        <v>190</v>
      </c>
      <c r="O21" s="11" t="s">
        <v>190</v>
      </c>
      <c r="P21" s="11" t="s">
        <v>190</v>
      </c>
      <c r="Q21" s="11" t="s">
        <v>190</v>
      </c>
      <c r="R21" s="11" t="s">
        <v>190</v>
      </c>
      <c r="S21" s="11" t="s">
        <v>190</v>
      </c>
      <c r="T21" s="11" t="s">
        <v>190</v>
      </c>
      <c r="U21" s="11" t="s">
        <v>190</v>
      </c>
      <c r="V21" s="11" t="s">
        <v>190</v>
      </c>
      <c r="W21" s="11" t="s">
        <v>190</v>
      </c>
      <c r="X21" s="11" t="s">
        <v>190</v>
      </c>
      <c r="Y21" s="11" t="s">
        <v>190</v>
      </c>
      <c r="Z21" s="11" t="s">
        <v>190</v>
      </c>
      <c r="AA21" s="9" t="s">
        <v>989</v>
      </c>
      <c r="AB21" s="11" t="s">
        <v>190</v>
      </c>
      <c r="AC21" s="12"/>
      <c r="AD21" s="12" t="s">
        <v>1029</v>
      </c>
      <c r="AE21" s="13" t="s">
        <v>360</v>
      </c>
      <c r="AF21" s="14" t="s">
        <v>360</v>
      </c>
      <c r="AG21" s="12"/>
      <c r="AH21" s="12"/>
    </row>
    <row r="22" spans="2:34" ht="10.25" customHeight="1" x14ac:dyDescent="0.55000000000000004">
      <c r="B22" s="16" t="s">
        <v>990</v>
      </c>
      <c r="C22" s="13">
        <v>13</v>
      </c>
      <c r="D22" s="11" t="s">
        <v>190</v>
      </c>
      <c r="E22" s="11" t="s">
        <v>190</v>
      </c>
      <c r="F22" s="11" t="s">
        <v>190</v>
      </c>
      <c r="G22" s="11" t="s">
        <v>190</v>
      </c>
      <c r="H22" s="11" t="s">
        <v>190</v>
      </c>
      <c r="I22" s="11" t="s">
        <v>190</v>
      </c>
      <c r="J22" s="11" t="s">
        <v>190</v>
      </c>
      <c r="K22" s="11" t="s">
        <v>190</v>
      </c>
      <c r="L22" s="11" t="s">
        <v>190</v>
      </c>
      <c r="M22" s="11" t="s">
        <v>190</v>
      </c>
      <c r="N22" s="11" t="s">
        <v>190</v>
      </c>
      <c r="O22" s="11" t="s">
        <v>190</v>
      </c>
      <c r="P22" s="11" t="s">
        <v>190</v>
      </c>
      <c r="Q22" s="11" t="s">
        <v>190</v>
      </c>
      <c r="R22" s="11" t="s">
        <v>190</v>
      </c>
      <c r="S22" s="11" t="s">
        <v>190</v>
      </c>
      <c r="T22" s="11" t="s">
        <v>190</v>
      </c>
      <c r="U22" s="11" t="s">
        <v>190</v>
      </c>
      <c r="V22" s="11" t="s">
        <v>190</v>
      </c>
      <c r="W22" s="11" t="s">
        <v>190</v>
      </c>
      <c r="X22" s="11" t="s">
        <v>190</v>
      </c>
      <c r="Y22" s="11" t="s">
        <v>190</v>
      </c>
      <c r="Z22" s="11" t="s">
        <v>190</v>
      </c>
      <c r="AA22" s="16" t="s">
        <v>990</v>
      </c>
      <c r="AB22" s="11" t="s">
        <v>190</v>
      </c>
      <c r="AC22" s="12"/>
      <c r="AD22" s="12" t="s">
        <v>1030</v>
      </c>
      <c r="AE22" s="13" t="s">
        <v>360</v>
      </c>
      <c r="AF22" s="14" t="s">
        <v>360</v>
      </c>
      <c r="AG22" s="12"/>
      <c r="AH22" s="12"/>
    </row>
    <row r="23" spans="2:34" ht="10.25" customHeight="1" x14ac:dyDescent="0.55000000000000004">
      <c r="B23" s="13" t="s">
        <v>998</v>
      </c>
      <c r="C23" s="13">
        <v>14</v>
      </c>
      <c r="D23" s="13" t="s">
        <v>998</v>
      </c>
      <c r="E23" s="11" t="s">
        <v>190</v>
      </c>
      <c r="F23" s="11" t="s">
        <v>190</v>
      </c>
      <c r="G23" s="11" t="s">
        <v>190</v>
      </c>
      <c r="H23" s="11" t="s">
        <v>190</v>
      </c>
      <c r="I23" s="11" t="s">
        <v>190</v>
      </c>
      <c r="J23" s="11" t="s">
        <v>190</v>
      </c>
      <c r="K23" s="11" t="s">
        <v>190</v>
      </c>
      <c r="L23" s="11" t="s">
        <v>190</v>
      </c>
      <c r="M23" s="11" t="s">
        <v>190</v>
      </c>
      <c r="N23" s="14" t="s">
        <v>1116</v>
      </c>
      <c r="O23" s="14" t="s">
        <v>787</v>
      </c>
      <c r="P23" s="11" t="s">
        <v>190</v>
      </c>
      <c r="Q23" s="11" t="s">
        <v>190</v>
      </c>
      <c r="R23" s="14" t="s">
        <v>658</v>
      </c>
      <c r="S23" s="14" t="s">
        <v>788</v>
      </c>
      <c r="T23" s="11" t="s">
        <v>190</v>
      </c>
      <c r="U23" s="11" t="s">
        <v>190</v>
      </c>
      <c r="V23" s="11" t="s">
        <v>190</v>
      </c>
      <c r="W23" s="11" t="s">
        <v>190</v>
      </c>
      <c r="X23" s="11" t="s">
        <v>190</v>
      </c>
      <c r="Y23" s="11" t="s">
        <v>190</v>
      </c>
      <c r="Z23" s="11" t="s">
        <v>190</v>
      </c>
      <c r="AA23" s="15"/>
      <c r="AB23" s="11" t="s">
        <v>190</v>
      </c>
      <c r="AC23" s="12" t="s">
        <v>1182</v>
      </c>
      <c r="AD23" s="12"/>
      <c r="AE23" s="13" t="s">
        <v>1041</v>
      </c>
      <c r="AF23" s="14" t="s">
        <v>1048</v>
      </c>
      <c r="AG23" s="12"/>
      <c r="AH23" s="12"/>
    </row>
    <row r="24" spans="2:34" ht="10.25" customHeight="1" x14ac:dyDescent="0.55000000000000004">
      <c r="B24" s="13" t="s">
        <v>103</v>
      </c>
      <c r="C24" s="13">
        <v>15</v>
      </c>
      <c r="D24" s="13" t="s">
        <v>103</v>
      </c>
      <c r="E24" s="11" t="s">
        <v>190</v>
      </c>
      <c r="F24" s="11" t="s">
        <v>190</v>
      </c>
      <c r="G24" s="11" t="s">
        <v>190</v>
      </c>
      <c r="H24" s="11" t="s">
        <v>190</v>
      </c>
      <c r="I24" s="11" t="s">
        <v>190</v>
      </c>
      <c r="J24" s="11" t="s">
        <v>190</v>
      </c>
      <c r="K24" s="11" t="s">
        <v>190</v>
      </c>
      <c r="L24" s="11" t="s">
        <v>190</v>
      </c>
      <c r="M24" s="11" t="s">
        <v>190</v>
      </c>
      <c r="N24" s="14" t="s">
        <v>789</v>
      </c>
      <c r="O24" s="14" t="s">
        <v>790</v>
      </c>
      <c r="P24" s="11" t="s">
        <v>190</v>
      </c>
      <c r="Q24" s="11" t="s">
        <v>190</v>
      </c>
      <c r="R24" s="14" t="s">
        <v>657</v>
      </c>
      <c r="S24" s="14" t="s">
        <v>1161</v>
      </c>
      <c r="T24" s="11" t="s">
        <v>190</v>
      </c>
      <c r="U24" s="11" t="s">
        <v>190</v>
      </c>
      <c r="V24" s="11" t="s">
        <v>190</v>
      </c>
      <c r="W24" s="11" t="s">
        <v>190</v>
      </c>
      <c r="X24" s="11" t="s">
        <v>190</v>
      </c>
      <c r="Y24" s="11" t="s">
        <v>190</v>
      </c>
      <c r="Z24" s="11" t="s">
        <v>190</v>
      </c>
      <c r="AA24" s="15"/>
      <c r="AB24" s="11" t="s">
        <v>190</v>
      </c>
      <c r="AC24" s="12" t="s">
        <v>1182</v>
      </c>
      <c r="AD24" s="12"/>
      <c r="AE24" s="13" t="s">
        <v>1041</v>
      </c>
      <c r="AF24" s="14" t="s">
        <v>1048</v>
      </c>
      <c r="AG24" s="12"/>
      <c r="AH24" s="12"/>
    </row>
    <row r="25" spans="2:34" ht="10.25" customHeight="1" x14ac:dyDescent="0.55000000000000004">
      <c r="B25" s="13" t="s">
        <v>104</v>
      </c>
      <c r="C25" s="13">
        <v>16</v>
      </c>
      <c r="D25" s="13" t="s">
        <v>104</v>
      </c>
      <c r="E25" s="11" t="s">
        <v>190</v>
      </c>
      <c r="F25" s="11" t="s">
        <v>190</v>
      </c>
      <c r="G25" s="11" t="s">
        <v>190</v>
      </c>
      <c r="H25" s="11" t="s">
        <v>190</v>
      </c>
      <c r="I25" s="11" t="s">
        <v>190</v>
      </c>
      <c r="J25" s="11" t="s">
        <v>190</v>
      </c>
      <c r="K25" s="11" t="s">
        <v>190</v>
      </c>
      <c r="L25" s="11" t="s">
        <v>190</v>
      </c>
      <c r="M25" s="11" t="s">
        <v>190</v>
      </c>
      <c r="N25" s="14" t="s">
        <v>792</v>
      </c>
      <c r="O25" s="11" t="s">
        <v>190</v>
      </c>
      <c r="P25" s="11" t="s">
        <v>190</v>
      </c>
      <c r="Q25" s="11" t="s">
        <v>190</v>
      </c>
      <c r="R25" s="14" t="s">
        <v>656</v>
      </c>
      <c r="S25" s="14" t="s">
        <v>793</v>
      </c>
      <c r="T25" s="11" t="s">
        <v>190</v>
      </c>
      <c r="U25" s="11" t="s">
        <v>190</v>
      </c>
      <c r="V25" s="11" t="s">
        <v>190</v>
      </c>
      <c r="W25" s="11" t="s">
        <v>190</v>
      </c>
      <c r="X25" s="11" t="s">
        <v>190</v>
      </c>
      <c r="Y25" s="11" t="s">
        <v>190</v>
      </c>
      <c r="Z25" s="11" t="s">
        <v>190</v>
      </c>
      <c r="AA25" s="15"/>
      <c r="AB25" s="11" t="s">
        <v>190</v>
      </c>
      <c r="AC25" s="12" t="s">
        <v>1182</v>
      </c>
      <c r="AD25" s="12"/>
      <c r="AE25" s="13" t="s">
        <v>1041</v>
      </c>
      <c r="AF25" s="14" t="s">
        <v>1048</v>
      </c>
      <c r="AG25" s="12"/>
      <c r="AH25" s="12"/>
    </row>
    <row r="26" spans="2:34" ht="10.25" customHeight="1" x14ac:dyDescent="0.55000000000000004">
      <c r="B26" s="13" t="s">
        <v>105</v>
      </c>
      <c r="C26" s="13">
        <v>17</v>
      </c>
      <c r="D26" s="13" t="s">
        <v>105</v>
      </c>
      <c r="E26" s="11" t="s">
        <v>190</v>
      </c>
      <c r="F26" s="11" t="s">
        <v>190</v>
      </c>
      <c r="G26" s="11" t="s">
        <v>190</v>
      </c>
      <c r="H26" s="11" t="s">
        <v>190</v>
      </c>
      <c r="I26" s="11" t="s">
        <v>190</v>
      </c>
      <c r="J26" s="11" t="s">
        <v>190</v>
      </c>
      <c r="K26" s="11" t="s">
        <v>190</v>
      </c>
      <c r="L26" s="11" t="s">
        <v>190</v>
      </c>
      <c r="M26" s="11" t="s">
        <v>190</v>
      </c>
      <c r="N26" s="11" t="s">
        <v>190</v>
      </c>
      <c r="O26" s="11" t="s">
        <v>190</v>
      </c>
      <c r="P26" s="11" t="s">
        <v>190</v>
      </c>
      <c r="Q26" s="11" t="s">
        <v>190</v>
      </c>
      <c r="R26" s="14" t="s">
        <v>655</v>
      </c>
      <c r="S26" s="14" t="s">
        <v>794</v>
      </c>
      <c r="T26" s="11" t="s">
        <v>190</v>
      </c>
      <c r="U26" s="11" t="s">
        <v>190</v>
      </c>
      <c r="V26" s="11" t="s">
        <v>190</v>
      </c>
      <c r="W26" s="11" t="s">
        <v>190</v>
      </c>
      <c r="X26" s="11" t="s">
        <v>190</v>
      </c>
      <c r="Y26" s="11" t="s">
        <v>190</v>
      </c>
      <c r="Z26" s="11" t="s">
        <v>190</v>
      </c>
      <c r="AA26" s="15"/>
      <c r="AB26" s="11" t="s">
        <v>190</v>
      </c>
      <c r="AC26" s="12"/>
      <c r="AD26" s="12"/>
      <c r="AE26" s="13" t="s">
        <v>1041</v>
      </c>
      <c r="AF26" s="14" t="s">
        <v>1048</v>
      </c>
      <c r="AG26" s="12"/>
      <c r="AH26" s="12"/>
    </row>
    <row r="27" spans="2:34" ht="10.25" customHeight="1" x14ac:dyDescent="0.55000000000000004">
      <c r="B27" s="16" t="s">
        <v>990</v>
      </c>
      <c r="C27" s="13">
        <v>18</v>
      </c>
      <c r="D27" s="11" t="s">
        <v>190</v>
      </c>
      <c r="E27" s="11" t="s">
        <v>190</v>
      </c>
      <c r="F27" s="11" t="s">
        <v>190</v>
      </c>
      <c r="G27" s="11" t="s">
        <v>190</v>
      </c>
      <c r="H27" s="11" t="s">
        <v>190</v>
      </c>
      <c r="I27" s="11" t="s">
        <v>190</v>
      </c>
      <c r="J27" s="11" t="s">
        <v>190</v>
      </c>
      <c r="K27" s="11" t="s">
        <v>190</v>
      </c>
      <c r="L27" s="11" t="s">
        <v>190</v>
      </c>
      <c r="M27" s="11" t="s">
        <v>190</v>
      </c>
      <c r="N27" s="11" t="s">
        <v>190</v>
      </c>
      <c r="O27" s="11" t="s">
        <v>190</v>
      </c>
      <c r="P27" s="11" t="s">
        <v>190</v>
      </c>
      <c r="Q27" s="11" t="s">
        <v>190</v>
      </c>
      <c r="R27" s="11" t="s">
        <v>190</v>
      </c>
      <c r="S27" s="11" t="s">
        <v>190</v>
      </c>
      <c r="T27" s="11" t="s">
        <v>190</v>
      </c>
      <c r="U27" s="11" t="s">
        <v>190</v>
      </c>
      <c r="V27" s="11" t="s">
        <v>190</v>
      </c>
      <c r="W27" s="11" t="s">
        <v>190</v>
      </c>
      <c r="X27" s="11" t="s">
        <v>190</v>
      </c>
      <c r="Y27" s="11" t="s">
        <v>190</v>
      </c>
      <c r="Z27" s="11" t="s">
        <v>190</v>
      </c>
      <c r="AA27" s="16" t="s">
        <v>990</v>
      </c>
      <c r="AB27" s="11" t="s">
        <v>190</v>
      </c>
      <c r="AC27" s="12"/>
      <c r="AD27" s="12" t="s">
        <v>1030</v>
      </c>
      <c r="AE27" s="13" t="s">
        <v>360</v>
      </c>
      <c r="AF27" s="14" t="s">
        <v>360</v>
      </c>
      <c r="AG27" s="12"/>
      <c r="AH27" s="12"/>
    </row>
    <row r="28" spans="2:34" ht="10.25" customHeight="1" x14ac:dyDescent="0.55000000000000004">
      <c r="B28" s="9" t="s">
        <v>989</v>
      </c>
      <c r="C28" s="13">
        <v>19</v>
      </c>
      <c r="D28" s="11" t="s">
        <v>190</v>
      </c>
      <c r="E28" s="11" t="s">
        <v>190</v>
      </c>
      <c r="F28" s="11" t="s">
        <v>190</v>
      </c>
      <c r="G28" s="11" t="s">
        <v>190</v>
      </c>
      <c r="H28" s="11" t="s">
        <v>190</v>
      </c>
      <c r="I28" s="11" t="s">
        <v>190</v>
      </c>
      <c r="J28" s="11" t="s">
        <v>190</v>
      </c>
      <c r="K28" s="11" t="s">
        <v>190</v>
      </c>
      <c r="L28" s="11" t="s">
        <v>190</v>
      </c>
      <c r="M28" s="11" t="s">
        <v>190</v>
      </c>
      <c r="N28" s="11" t="s">
        <v>190</v>
      </c>
      <c r="O28" s="11" t="s">
        <v>190</v>
      </c>
      <c r="P28" s="11" t="s">
        <v>190</v>
      </c>
      <c r="Q28" s="11" t="s">
        <v>190</v>
      </c>
      <c r="R28" s="11" t="s">
        <v>190</v>
      </c>
      <c r="S28" s="11" t="s">
        <v>190</v>
      </c>
      <c r="T28" s="11" t="s">
        <v>190</v>
      </c>
      <c r="U28" s="11" t="s">
        <v>190</v>
      </c>
      <c r="V28" s="11" t="s">
        <v>190</v>
      </c>
      <c r="W28" s="11" t="s">
        <v>190</v>
      </c>
      <c r="X28" s="11" t="s">
        <v>190</v>
      </c>
      <c r="Y28" s="11" t="s">
        <v>190</v>
      </c>
      <c r="Z28" s="11" t="s">
        <v>190</v>
      </c>
      <c r="AA28" s="9" t="s">
        <v>989</v>
      </c>
      <c r="AB28" s="11" t="s">
        <v>190</v>
      </c>
      <c r="AC28" s="12"/>
      <c r="AD28" s="12" t="s">
        <v>1029</v>
      </c>
      <c r="AE28" s="13" t="s">
        <v>360</v>
      </c>
      <c r="AF28" s="14" t="s">
        <v>360</v>
      </c>
      <c r="AG28" s="12"/>
      <c r="AH28" s="12"/>
    </row>
    <row r="29" spans="2:34" ht="10.25" customHeight="1" x14ac:dyDescent="0.55000000000000004">
      <c r="B29" s="16" t="s">
        <v>180</v>
      </c>
      <c r="C29" s="13">
        <v>20</v>
      </c>
      <c r="D29" s="11" t="s">
        <v>190</v>
      </c>
      <c r="E29" s="11" t="s">
        <v>190</v>
      </c>
      <c r="F29" s="11" t="s">
        <v>190</v>
      </c>
      <c r="G29" s="11" t="s">
        <v>190</v>
      </c>
      <c r="H29" s="11" t="s">
        <v>190</v>
      </c>
      <c r="I29" s="11" t="s">
        <v>190</v>
      </c>
      <c r="J29" s="11" t="s">
        <v>190</v>
      </c>
      <c r="K29" s="11" t="s">
        <v>190</v>
      </c>
      <c r="L29" s="11" t="s">
        <v>190</v>
      </c>
      <c r="M29" s="11" t="s">
        <v>190</v>
      </c>
      <c r="N29" s="11" t="s">
        <v>190</v>
      </c>
      <c r="O29" s="11" t="s">
        <v>190</v>
      </c>
      <c r="P29" s="11" t="s">
        <v>190</v>
      </c>
      <c r="Q29" s="11" t="s">
        <v>190</v>
      </c>
      <c r="R29" s="11" t="s">
        <v>190</v>
      </c>
      <c r="S29" s="11" t="s">
        <v>190</v>
      </c>
      <c r="T29" s="11" t="s">
        <v>190</v>
      </c>
      <c r="U29" s="11" t="s">
        <v>190</v>
      </c>
      <c r="V29" s="11" t="s">
        <v>190</v>
      </c>
      <c r="W29" s="11" t="s">
        <v>190</v>
      </c>
      <c r="X29" s="11" t="s">
        <v>190</v>
      </c>
      <c r="Y29" s="11" t="s">
        <v>190</v>
      </c>
      <c r="Z29" s="11" t="s">
        <v>190</v>
      </c>
      <c r="AA29" s="16" t="s">
        <v>180</v>
      </c>
      <c r="AB29" s="11" t="s">
        <v>190</v>
      </c>
      <c r="AC29" s="12"/>
      <c r="AD29" s="12" t="s">
        <v>354</v>
      </c>
      <c r="AE29" s="13" t="s">
        <v>360</v>
      </c>
      <c r="AF29" s="14" t="s">
        <v>360</v>
      </c>
      <c r="AG29" s="12"/>
      <c r="AH29" s="12"/>
    </row>
    <row r="30" spans="2:34" ht="10.25" customHeight="1" x14ac:dyDescent="0.55000000000000004">
      <c r="B30" s="16" t="s">
        <v>181</v>
      </c>
      <c r="C30" s="13">
        <v>21</v>
      </c>
      <c r="D30" s="11" t="s">
        <v>190</v>
      </c>
      <c r="E30" s="11" t="s">
        <v>190</v>
      </c>
      <c r="F30" s="11" t="s">
        <v>190</v>
      </c>
      <c r="G30" s="11" t="s">
        <v>190</v>
      </c>
      <c r="H30" s="11" t="s">
        <v>190</v>
      </c>
      <c r="I30" s="11" t="s">
        <v>190</v>
      </c>
      <c r="J30" s="11" t="s">
        <v>190</v>
      </c>
      <c r="K30" s="11" t="s">
        <v>190</v>
      </c>
      <c r="L30" s="11" t="s">
        <v>190</v>
      </c>
      <c r="M30" s="11" t="s">
        <v>190</v>
      </c>
      <c r="N30" s="11" t="s">
        <v>190</v>
      </c>
      <c r="O30" s="11" t="s">
        <v>190</v>
      </c>
      <c r="P30" s="11" t="s">
        <v>190</v>
      </c>
      <c r="Q30" s="11" t="s">
        <v>190</v>
      </c>
      <c r="R30" s="11" t="s">
        <v>190</v>
      </c>
      <c r="S30" s="11" t="s">
        <v>190</v>
      </c>
      <c r="T30" s="11" t="s">
        <v>190</v>
      </c>
      <c r="U30" s="11" t="s">
        <v>190</v>
      </c>
      <c r="V30" s="11" t="s">
        <v>190</v>
      </c>
      <c r="W30" s="11" t="s">
        <v>190</v>
      </c>
      <c r="X30" s="11" t="s">
        <v>190</v>
      </c>
      <c r="Y30" s="11" t="s">
        <v>190</v>
      </c>
      <c r="Z30" s="11" t="s">
        <v>190</v>
      </c>
      <c r="AA30" s="16" t="s">
        <v>181</v>
      </c>
      <c r="AB30" s="11" t="s">
        <v>190</v>
      </c>
      <c r="AC30" s="12"/>
      <c r="AD30" s="12" t="s">
        <v>1031</v>
      </c>
      <c r="AE30" s="13" t="s">
        <v>360</v>
      </c>
      <c r="AF30" s="14" t="s">
        <v>360</v>
      </c>
      <c r="AG30" s="12"/>
      <c r="AH30" s="12"/>
    </row>
    <row r="31" spans="2:34" ht="10.25" customHeight="1" x14ac:dyDescent="0.55000000000000004">
      <c r="B31" s="9" t="s">
        <v>179</v>
      </c>
      <c r="C31" s="52">
        <v>22</v>
      </c>
      <c r="D31" s="11" t="s">
        <v>190</v>
      </c>
      <c r="E31" s="11" t="s">
        <v>190</v>
      </c>
      <c r="F31" s="11" t="s">
        <v>190</v>
      </c>
      <c r="G31" s="11" t="s">
        <v>190</v>
      </c>
      <c r="H31" s="11" t="s">
        <v>190</v>
      </c>
      <c r="I31" s="11" t="s">
        <v>190</v>
      </c>
      <c r="J31" s="11" t="s">
        <v>190</v>
      </c>
      <c r="K31" s="11" t="s">
        <v>190</v>
      </c>
      <c r="L31" s="11" t="s">
        <v>190</v>
      </c>
      <c r="M31" s="11" t="s">
        <v>190</v>
      </c>
      <c r="N31" s="11" t="s">
        <v>190</v>
      </c>
      <c r="O31" s="11" t="s">
        <v>190</v>
      </c>
      <c r="P31" s="11" t="s">
        <v>190</v>
      </c>
      <c r="Q31" s="11" t="s">
        <v>190</v>
      </c>
      <c r="R31" s="11" t="s">
        <v>190</v>
      </c>
      <c r="S31" s="11" t="s">
        <v>190</v>
      </c>
      <c r="T31" s="11" t="s">
        <v>190</v>
      </c>
      <c r="U31" s="11" t="s">
        <v>190</v>
      </c>
      <c r="V31" s="11" t="s">
        <v>190</v>
      </c>
      <c r="W31" s="11" t="s">
        <v>190</v>
      </c>
      <c r="X31" s="11" t="s">
        <v>190</v>
      </c>
      <c r="Y31" s="11" t="s">
        <v>190</v>
      </c>
      <c r="Z31" s="11" t="s">
        <v>190</v>
      </c>
      <c r="AA31" s="9" t="s">
        <v>179</v>
      </c>
      <c r="AB31" s="11" t="s">
        <v>190</v>
      </c>
      <c r="AC31" s="12"/>
      <c r="AD31" s="12" t="s">
        <v>355</v>
      </c>
      <c r="AE31" s="13" t="s">
        <v>360</v>
      </c>
      <c r="AF31" s="14" t="s">
        <v>360</v>
      </c>
      <c r="AG31" s="12"/>
      <c r="AH31" s="12"/>
    </row>
    <row r="32" spans="2:34" ht="10.25" customHeight="1" x14ac:dyDescent="0.55000000000000004">
      <c r="B32" s="13" t="s">
        <v>999</v>
      </c>
      <c r="C32" s="52">
        <v>23</v>
      </c>
      <c r="D32" s="13" t="s">
        <v>999</v>
      </c>
      <c r="E32" s="14" t="s">
        <v>403</v>
      </c>
      <c r="F32" s="14" t="s">
        <v>412</v>
      </c>
      <c r="G32" s="11" t="s">
        <v>190</v>
      </c>
      <c r="H32" s="11" t="s">
        <v>190</v>
      </c>
      <c r="I32" s="11" t="s">
        <v>190</v>
      </c>
      <c r="J32" s="11" t="s">
        <v>190</v>
      </c>
      <c r="K32" s="11" t="s">
        <v>190</v>
      </c>
      <c r="L32" s="11" t="s">
        <v>190</v>
      </c>
      <c r="M32" s="14" t="s">
        <v>796</v>
      </c>
      <c r="N32" s="14" t="s">
        <v>577</v>
      </c>
      <c r="O32" s="14" t="s">
        <v>570</v>
      </c>
      <c r="P32" s="14" t="s">
        <v>573</v>
      </c>
      <c r="Q32" s="11" t="s">
        <v>190</v>
      </c>
      <c r="R32" s="11" t="s">
        <v>190</v>
      </c>
      <c r="S32" s="11" t="s">
        <v>190</v>
      </c>
      <c r="T32" s="14" t="s">
        <v>1104</v>
      </c>
      <c r="U32" s="14" t="s">
        <v>895</v>
      </c>
      <c r="V32" s="11" t="s">
        <v>190</v>
      </c>
      <c r="W32" s="11" t="s">
        <v>190</v>
      </c>
      <c r="X32" s="11" t="s">
        <v>190</v>
      </c>
      <c r="Y32" s="11" t="s">
        <v>190</v>
      </c>
      <c r="Z32" s="11" t="s">
        <v>190</v>
      </c>
      <c r="AA32" s="15"/>
      <c r="AB32" s="11" t="s">
        <v>190</v>
      </c>
      <c r="AC32" s="12" t="s">
        <v>1182</v>
      </c>
      <c r="AD32" s="12"/>
      <c r="AE32" s="13" t="s">
        <v>1042</v>
      </c>
      <c r="AF32" s="14" t="s">
        <v>1045</v>
      </c>
      <c r="AG32" s="12"/>
      <c r="AH32" s="12"/>
    </row>
    <row r="33" spans="2:34" ht="10.25" customHeight="1" x14ac:dyDescent="0.55000000000000004">
      <c r="B33" s="13" t="s">
        <v>107</v>
      </c>
      <c r="C33" s="13">
        <v>24</v>
      </c>
      <c r="D33" s="13" t="s">
        <v>107</v>
      </c>
      <c r="E33" s="14" t="s">
        <v>398</v>
      </c>
      <c r="F33" s="14" t="s">
        <v>408</v>
      </c>
      <c r="G33" s="11" t="s">
        <v>190</v>
      </c>
      <c r="H33" s="11" t="s">
        <v>190</v>
      </c>
      <c r="I33" s="11" t="s">
        <v>190</v>
      </c>
      <c r="J33" s="11" t="s">
        <v>190</v>
      </c>
      <c r="K33" s="11" t="s">
        <v>190</v>
      </c>
      <c r="L33" s="11" t="s">
        <v>190</v>
      </c>
      <c r="M33" s="14" t="s">
        <v>797</v>
      </c>
      <c r="N33" s="14" t="s">
        <v>574</v>
      </c>
      <c r="O33" s="14" t="s">
        <v>572</v>
      </c>
      <c r="P33" s="14" t="s">
        <v>576</v>
      </c>
      <c r="Q33" s="11" t="s">
        <v>190</v>
      </c>
      <c r="R33" s="11" t="s">
        <v>190</v>
      </c>
      <c r="S33" s="11" t="s">
        <v>190</v>
      </c>
      <c r="T33" s="14" t="s">
        <v>896</v>
      </c>
      <c r="U33" s="14" t="s">
        <v>897</v>
      </c>
      <c r="V33" s="11" t="s">
        <v>190</v>
      </c>
      <c r="W33" s="11" t="s">
        <v>190</v>
      </c>
      <c r="X33" s="11" t="s">
        <v>190</v>
      </c>
      <c r="Y33" s="11" t="s">
        <v>190</v>
      </c>
      <c r="Z33" s="11" t="s">
        <v>190</v>
      </c>
      <c r="AA33" s="15"/>
      <c r="AB33" s="11" t="s">
        <v>190</v>
      </c>
      <c r="AC33" s="12" t="s">
        <v>1182</v>
      </c>
      <c r="AD33" s="12"/>
      <c r="AE33" s="13" t="s">
        <v>1042</v>
      </c>
      <c r="AF33" s="14" t="s">
        <v>1045</v>
      </c>
      <c r="AG33" s="12"/>
      <c r="AH33" s="12"/>
    </row>
    <row r="34" spans="2:34" ht="10.25" customHeight="1" x14ac:dyDescent="0.55000000000000004">
      <c r="B34" s="13" t="s">
        <v>109</v>
      </c>
      <c r="C34" s="13">
        <v>25</v>
      </c>
      <c r="D34" s="13" t="s">
        <v>109</v>
      </c>
      <c r="E34" s="14" t="s">
        <v>394</v>
      </c>
      <c r="F34" s="14" t="s">
        <v>404</v>
      </c>
      <c r="G34" s="11" t="s">
        <v>190</v>
      </c>
      <c r="H34" s="11" t="s">
        <v>190</v>
      </c>
      <c r="I34" s="11" t="s">
        <v>190</v>
      </c>
      <c r="J34" s="11" t="s">
        <v>190</v>
      </c>
      <c r="K34" s="11" t="s">
        <v>190</v>
      </c>
      <c r="L34" s="11" t="s">
        <v>190</v>
      </c>
      <c r="M34" s="14" t="s">
        <v>798</v>
      </c>
      <c r="N34" s="14" t="s">
        <v>571</v>
      </c>
      <c r="O34" s="14" t="s">
        <v>575</v>
      </c>
      <c r="P34" s="11" t="s">
        <v>190</v>
      </c>
      <c r="Q34" s="11" t="s">
        <v>190</v>
      </c>
      <c r="R34" s="11" t="s">
        <v>190</v>
      </c>
      <c r="S34" s="11" t="s">
        <v>190</v>
      </c>
      <c r="T34" s="14" t="s">
        <v>898</v>
      </c>
      <c r="U34" s="14" t="s">
        <v>899</v>
      </c>
      <c r="V34" s="11" t="s">
        <v>190</v>
      </c>
      <c r="W34" s="11" t="s">
        <v>190</v>
      </c>
      <c r="X34" s="11" t="s">
        <v>190</v>
      </c>
      <c r="Y34" s="11" t="s">
        <v>190</v>
      </c>
      <c r="Z34" s="11" t="s">
        <v>190</v>
      </c>
      <c r="AA34" s="15"/>
      <c r="AB34" s="11" t="s">
        <v>190</v>
      </c>
      <c r="AC34" s="12" t="s">
        <v>1182</v>
      </c>
      <c r="AD34" s="12"/>
      <c r="AE34" s="13" t="s">
        <v>1042</v>
      </c>
      <c r="AF34" s="14" t="s">
        <v>1045</v>
      </c>
      <c r="AG34" s="12"/>
      <c r="AH34" s="12"/>
    </row>
    <row r="35" spans="2:34" ht="10.25" customHeight="1" x14ac:dyDescent="0.55000000000000004">
      <c r="B35" s="13" t="s">
        <v>110</v>
      </c>
      <c r="C35" s="13">
        <v>26</v>
      </c>
      <c r="D35" s="13" t="s">
        <v>110</v>
      </c>
      <c r="E35" s="14" t="s">
        <v>390</v>
      </c>
      <c r="F35" s="14" t="s">
        <v>399</v>
      </c>
      <c r="G35" s="11" t="s">
        <v>190</v>
      </c>
      <c r="H35" s="11" t="s">
        <v>190</v>
      </c>
      <c r="I35" s="11" t="s">
        <v>190</v>
      </c>
      <c r="J35" s="11" t="s">
        <v>190</v>
      </c>
      <c r="K35" s="11" t="s">
        <v>190</v>
      </c>
      <c r="L35" s="11" t="s">
        <v>190</v>
      </c>
      <c r="M35" s="14" t="s">
        <v>799</v>
      </c>
      <c r="N35" s="14" t="s">
        <v>579</v>
      </c>
      <c r="O35" s="14" t="s">
        <v>578</v>
      </c>
      <c r="P35" s="11" t="s">
        <v>190</v>
      </c>
      <c r="Q35" s="11" t="s">
        <v>190</v>
      </c>
      <c r="R35" s="11" t="s">
        <v>190</v>
      </c>
      <c r="S35" s="11" t="s">
        <v>190</v>
      </c>
      <c r="T35" s="14" t="s">
        <v>900</v>
      </c>
      <c r="U35" s="14" t="s">
        <v>901</v>
      </c>
      <c r="V35" s="11" t="s">
        <v>190</v>
      </c>
      <c r="W35" s="11" t="s">
        <v>190</v>
      </c>
      <c r="X35" s="11" t="s">
        <v>190</v>
      </c>
      <c r="Y35" s="11" t="s">
        <v>190</v>
      </c>
      <c r="Z35" s="11" t="s">
        <v>190</v>
      </c>
      <c r="AA35" s="15"/>
      <c r="AB35" s="11" t="s">
        <v>190</v>
      </c>
      <c r="AC35" s="12" t="s">
        <v>1182</v>
      </c>
      <c r="AD35" s="12"/>
      <c r="AE35" s="13" t="s">
        <v>1042</v>
      </c>
      <c r="AF35" s="14" t="s">
        <v>1045</v>
      </c>
      <c r="AG35" s="12"/>
      <c r="AH35" s="12"/>
    </row>
    <row r="36" spans="2:34" ht="10.25" customHeight="1" x14ac:dyDescent="0.55000000000000004">
      <c r="B36" s="13" t="s">
        <v>111</v>
      </c>
      <c r="C36" s="13">
        <v>27</v>
      </c>
      <c r="D36" s="13" t="s">
        <v>111</v>
      </c>
      <c r="E36" s="14" t="s">
        <v>387</v>
      </c>
      <c r="F36" s="14" t="s">
        <v>395</v>
      </c>
      <c r="G36" s="11" t="s">
        <v>190</v>
      </c>
      <c r="H36" s="11" t="s">
        <v>190</v>
      </c>
      <c r="I36" s="11" t="s">
        <v>190</v>
      </c>
      <c r="J36" s="11" t="s">
        <v>190</v>
      </c>
      <c r="K36" s="11" t="s">
        <v>190</v>
      </c>
      <c r="L36" s="11" t="s">
        <v>190</v>
      </c>
      <c r="M36" s="14" t="s">
        <v>800</v>
      </c>
      <c r="N36" s="11" t="s">
        <v>190</v>
      </c>
      <c r="O36" s="11" t="s">
        <v>190</v>
      </c>
      <c r="P36" s="11" t="s">
        <v>190</v>
      </c>
      <c r="Q36" s="11" t="s">
        <v>190</v>
      </c>
      <c r="R36" s="11" t="s">
        <v>190</v>
      </c>
      <c r="S36" s="11" t="s">
        <v>190</v>
      </c>
      <c r="T36" s="14" t="s">
        <v>902</v>
      </c>
      <c r="U36" s="14" t="s">
        <v>903</v>
      </c>
      <c r="V36" s="11" t="s">
        <v>190</v>
      </c>
      <c r="W36" s="11" t="s">
        <v>190</v>
      </c>
      <c r="X36" s="11" t="s">
        <v>190</v>
      </c>
      <c r="Y36" s="11" t="s">
        <v>190</v>
      </c>
      <c r="Z36" s="11" t="s">
        <v>190</v>
      </c>
      <c r="AA36" s="15"/>
      <c r="AB36" s="11" t="s">
        <v>190</v>
      </c>
      <c r="AC36" s="12"/>
      <c r="AD36" s="12"/>
      <c r="AE36" s="13" t="s">
        <v>1042</v>
      </c>
      <c r="AF36" s="14" t="s">
        <v>1045</v>
      </c>
      <c r="AG36" s="12"/>
      <c r="AH36" s="12"/>
    </row>
    <row r="37" spans="2:34" ht="10.25" customHeight="1" x14ac:dyDescent="0.55000000000000004">
      <c r="B37" s="13" t="s">
        <v>1000</v>
      </c>
      <c r="C37" s="13">
        <v>28</v>
      </c>
      <c r="D37" s="13" t="s">
        <v>363</v>
      </c>
      <c r="E37" s="14" t="s">
        <v>451</v>
      </c>
      <c r="F37" s="14" t="s">
        <v>391</v>
      </c>
      <c r="G37" s="11" t="s">
        <v>190</v>
      </c>
      <c r="H37" s="11" t="s">
        <v>190</v>
      </c>
      <c r="I37" s="11" t="s">
        <v>190</v>
      </c>
      <c r="J37" s="11" t="s">
        <v>190</v>
      </c>
      <c r="K37" s="11" t="s">
        <v>190</v>
      </c>
      <c r="L37" s="11" t="s">
        <v>190</v>
      </c>
      <c r="M37" s="149" t="s">
        <v>801</v>
      </c>
      <c r="N37" s="14" t="s">
        <v>566</v>
      </c>
      <c r="O37" s="14" t="s">
        <v>559</v>
      </c>
      <c r="P37" s="14" t="s">
        <v>562</v>
      </c>
      <c r="Q37" s="11" t="s">
        <v>190</v>
      </c>
      <c r="R37" s="11" t="s">
        <v>190</v>
      </c>
      <c r="S37" s="11" t="s">
        <v>190</v>
      </c>
      <c r="T37" s="14" t="s">
        <v>904</v>
      </c>
      <c r="U37" s="14" t="s">
        <v>905</v>
      </c>
      <c r="V37" s="11" t="s">
        <v>190</v>
      </c>
      <c r="W37" s="11" t="s">
        <v>190</v>
      </c>
      <c r="X37" s="11" t="s">
        <v>190</v>
      </c>
      <c r="Y37" s="11" t="s">
        <v>190</v>
      </c>
      <c r="Z37" s="11" t="s">
        <v>190</v>
      </c>
      <c r="AA37" s="15"/>
      <c r="AB37" s="11" t="s">
        <v>190</v>
      </c>
      <c r="AC37" s="12" t="s">
        <v>1182</v>
      </c>
      <c r="AD37" s="12"/>
      <c r="AE37" s="13" t="s">
        <v>1042</v>
      </c>
      <c r="AF37" s="14" t="s">
        <v>1045</v>
      </c>
      <c r="AG37" s="12"/>
      <c r="AH37" s="12"/>
    </row>
    <row r="38" spans="2:34" ht="10.25" customHeight="1" x14ac:dyDescent="0.55000000000000004">
      <c r="B38" s="13" t="s">
        <v>802</v>
      </c>
      <c r="C38" s="13">
        <v>29</v>
      </c>
      <c r="D38" s="13" t="s">
        <v>802</v>
      </c>
      <c r="E38" s="14" t="s">
        <v>384</v>
      </c>
      <c r="F38" s="14" t="s">
        <v>452</v>
      </c>
      <c r="G38" s="11" t="s">
        <v>190</v>
      </c>
      <c r="H38" s="11" t="s">
        <v>190</v>
      </c>
      <c r="I38" s="11" t="s">
        <v>190</v>
      </c>
      <c r="J38" s="11" t="s">
        <v>190</v>
      </c>
      <c r="K38" s="11" t="s">
        <v>190</v>
      </c>
      <c r="L38" s="11" t="s">
        <v>190</v>
      </c>
      <c r="M38" s="11" t="s">
        <v>190</v>
      </c>
      <c r="N38" s="14" t="s">
        <v>563</v>
      </c>
      <c r="O38" s="14" t="s">
        <v>561</v>
      </c>
      <c r="P38" s="14" t="s">
        <v>565</v>
      </c>
      <c r="Q38" s="11" t="s">
        <v>190</v>
      </c>
      <c r="R38" s="11" t="s">
        <v>190</v>
      </c>
      <c r="S38" s="11" t="s">
        <v>190</v>
      </c>
      <c r="T38" s="14" t="s">
        <v>906</v>
      </c>
      <c r="U38" s="14" t="s">
        <v>907</v>
      </c>
      <c r="V38" s="11" t="s">
        <v>190</v>
      </c>
      <c r="W38" s="11" t="s">
        <v>190</v>
      </c>
      <c r="X38" s="11" t="s">
        <v>190</v>
      </c>
      <c r="Y38" s="11" t="s">
        <v>190</v>
      </c>
      <c r="Z38" s="11" t="s">
        <v>190</v>
      </c>
      <c r="AA38" s="15"/>
      <c r="AB38" s="11" t="s">
        <v>190</v>
      </c>
      <c r="AC38" s="12" t="s">
        <v>1182</v>
      </c>
      <c r="AD38" s="12"/>
      <c r="AE38" s="13" t="s">
        <v>1042</v>
      </c>
      <c r="AF38" s="14" t="s">
        <v>1045</v>
      </c>
      <c r="AG38" s="12"/>
      <c r="AH38" s="12"/>
    </row>
    <row r="39" spans="2:34" ht="10.25" customHeight="1" x14ac:dyDescent="0.55000000000000004">
      <c r="B39" s="13" t="s">
        <v>803</v>
      </c>
      <c r="C39" s="13">
        <v>30</v>
      </c>
      <c r="D39" s="13" t="s">
        <v>803</v>
      </c>
      <c r="E39" s="14" t="s">
        <v>551</v>
      </c>
      <c r="F39" s="14" t="s">
        <v>388</v>
      </c>
      <c r="G39" s="11" t="s">
        <v>190</v>
      </c>
      <c r="H39" s="11" t="s">
        <v>190</v>
      </c>
      <c r="I39" s="150" t="s">
        <v>810</v>
      </c>
      <c r="J39" s="151" t="s">
        <v>811</v>
      </c>
      <c r="K39" s="11" t="s">
        <v>190</v>
      </c>
      <c r="L39" s="11" t="s">
        <v>190</v>
      </c>
      <c r="M39" s="11" t="s">
        <v>190</v>
      </c>
      <c r="N39" s="14" t="s">
        <v>560</v>
      </c>
      <c r="O39" s="14" t="s">
        <v>564</v>
      </c>
      <c r="P39" s="11" t="s">
        <v>190</v>
      </c>
      <c r="Q39" s="11" t="s">
        <v>190</v>
      </c>
      <c r="R39" s="11" t="s">
        <v>190</v>
      </c>
      <c r="S39" s="11" t="s">
        <v>190</v>
      </c>
      <c r="T39" s="14" t="s">
        <v>908</v>
      </c>
      <c r="U39" s="14" t="s">
        <v>909</v>
      </c>
      <c r="V39" s="11" t="s">
        <v>190</v>
      </c>
      <c r="W39" s="11" t="s">
        <v>190</v>
      </c>
      <c r="X39" s="11" t="s">
        <v>190</v>
      </c>
      <c r="Y39" s="11" t="s">
        <v>190</v>
      </c>
      <c r="Z39" s="11" t="s">
        <v>190</v>
      </c>
      <c r="AA39" s="15"/>
      <c r="AB39" s="11" t="s">
        <v>190</v>
      </c>
      <c r="AC39" s="12" t="s">
        <v>1182</v>
      </c>
      <c r="AD39" s="12"/>
      <c r="AE39" s="13" t="s">
        <v>1042</v>
      </c>
      <c r="AF39" s="14" t="s">
        <v>1045</v>
      </c>
      <c r="AG39" s="12"/>
      <c r="AH39" s="12"/>
    </row>
    <row r="40" spans="2:34" ht="10.25" customHeight="1" x14ac:dyDescent="0.55000000000000004">
      <c r="B40" s="13" t="s">
        <v>804</v>
      </c>
      <c r="C40" s="13">
        <v>31</v>
      </c>
      <c r="D40" s="13" t="s">
        <v>804</v>
      </c>
      <c r="E40" s="14" t="s">
        <v>553</v>
      </c>
      <c r="F40" s="14" t="s">
        <v>552</v>
      </c>
      <c r="G40" s="11" t="s">
        <v>190</v>
      </c>
      <c r="H40" s="11" t="s">
        <v>190</v>
      </c>
      <c r="I40" s="150" t="s">
        <v>812</v>
      </c>
      <c r="J40" s="151" t="s">
        <v>813</v>
      </c>
      <c r="K40" s="11" t="s">
        <v>190</v>
      </c>
      <c r="L40" s="11" t="s">
        <v>190</v>
      </c>
      <c r="M40" s="11" t="s">
        <v>190</v>
      </c>
      <c r="N40" s="14" t="s">
        <v>568</v>
      </c>
      <c r="O40" s="14" t="s">
        <v>567</v>
      </c>
      <c r="P40" s="11" t="s">
        <v>190</v>
      </c>
      <c r="Q40" s="11" t="s">
        <v>190</v>
      </c>
      <c r="R40" s="11" t="s">
        <v>190</v>
      </c>
      <c r="S40" s="11" t="s">
        <v>190</v>
      </c>
      <c r="T40" s="14" t="s">
        <v>910</v>
      </c>
      <c r="U40" s="14" t="s">
        <v>911</v>
      </c>
      <c r="V40" s="11" t="s">
        <v>190</v>
      </c>
      <c r="W40" s="11" t="s">
        <v>190</v>
      </c>
      <c r="X40" s="11" t="s">
        <v>190</v>
      </c>
      <c r="Y40" s="11" t="s">
        <v>190</v>
      </c>
      <c r="Z40" s="11" t="s">
        <v>190</v>
      </c>
      <c r="AA40" s="15"/>
      <c r="AB40" s="11" t="s">
        <v>190</v>
      </c>
      <c r="AC40" s="12" t="s">
        <v>1182</v>
      </c>
      <c r="AD40" s="12"/>
      <c r="AE40" s="13" t="s">
        <v>1042</v>
      </c>
      <c r="AF40" s="14" t="s">
        <v>1045</v>
      </c>
      <c r="AG40" s="12"/>
      <c r="AH40" s="12"/>
    </row>
    <row r="41" spans="2:34" ht="10.25" customHeight="1" x14ac:dyDescent="0.55000000000000004">
      <c r="B41" s="13" t="s">
        <v>805</v>
      </c>
      <c r="C41" s="13">
        <v>32</v>
      </c>
      <c r="D41" s="13" t="s">
        <v>805</v>
      </c>
      <c r="E41" s="14" t="s">
        <v>555</v>
      </c>
      <c r="F41" s="14" t="s">
        <v>554</v>
      </c>
      <c r="G41" s="14" t="s">
        <v>672</v>
      </c>
      <c r="H41" s="11" t="s">
        <v>190</v>
      </c>
      <c r="I41" s="150" t="s">
        <v>1096</v>
      </c>
      <c r="J41" s="151" t="s">
        <v>983</v>
      </c>
      <c r="K41" s="11" t="s">
        <v>190</v>
      </c>
      <c r="L41" s="11" t="s">
        <v>190</v>
      </c>
      <c r="M41" s="11" t="s">
        <v>190</v>
      </c>
      <c r="N41" s="14" t="s">
        <v>569</v>
      </c>
      <c r="O41" s="11" t="s">
        <v>190</v>
      </c>
      <c r="P41" s="11" t="s">
        <v>190</v>
      </c>
      <c r="Q41" s="11" t="s">
        <v>190</v>
      </c>
      <c r="R41" s="11" t="s">
        <v>190</v>
      </c>
      <c r="S41" s="11" t="s">
        <v>190</v>
      </c>
      <c r="T41" s="14" t="s">
        <v>912</v>
      </c>
      <c r="U41" s="14" t="s">
        <v>913</v>
      </c>
      <c r="V41" s="11" t="s">
        <v>190</v>
      </c>
      <c r="W41" s="11" t="s">
        <v>190</v>
      </c>
      <c r="X41" s="11" t="s">
        <v>190</v>
      </c>
      <c r="Y41" s="11" t="s">
        <v>190</v>
      </c>
      <c r="Z41" s="11" t="s">
        <v>190</v>
      </c>
      <c r="AA41" s="15"/>
      <c r="AB41" s="11" t="s">
        <v>190</v>
      </c>
      <c r="AC41" s="12" t="s">
        <v>1182</v>
      </c>
      <c r="AD41" s="12"/>
      <c r="AE41" s="13" t="s">
        <v>1042</v>
      </c>
      <c r="AF41" s="14" t="s">
        <v>1045</v>
      </c>
      <c r="AG41" s="12"/>
      <c r="AH41" s="12"/>
    </row>
    <row r="42" spans="2:34" ht="10.25" customHeight="1" x14ac:dyDescent="0.55000000000000004">
      <c r="B42" s="13" t="s">
        <v>806</v>
      </c>
      <c r="C42" s="13">
        <v>33</v>
      </c>
      <c r="D42" s="13" t="s">
        <v>806</v>
      </c>
      <c r="E42" s="14" t="s">
        <v>381</v>
      </c>
      <c r="F42" s="14" t="s">
        <v>556</v>
      </c>
      <c r="G42" s="14" t="s">
        <v>673</v>
      </c>
      <c r="H42" s="11" t="s">
        <v>190</v>
      </c>
      <c r="I42" s="150" t="s">
        <v>814</v>
      </c>
      <c r="J42" s="151" t="s">
        <v>982</v>
      </c>
      <c r="K42" s="11" t="s">
        <v>190</v>
      </c>
      <c r="L42" s="11" t="s">
        <v>190</v>
      </c>
      <c r="M42" s="149" t="s">
        <v>807</v>
      </c>
      <c r="N42" s="11" t="s">
        <v>190</v>
      </c>
      <c r="O42" s="11" t="s">
        <v>190</v>
      </c>
      <c r="P42" s="11" t="s">
        <v>190</v>
      </c>
      <c r="Q42" s="11" t="s">
        <v>190</v>
      </c>
      <c r="R42" s="11" t="s">
        <v>190</v>
      </c>
      <c r="S42" s="11" t="s">
        <v>190</v>
      </c>
      <c r="T42" s="14" t="s">
        <v>914</v>
      </c>
      <c r="U42" s="14" t="s">
        <v>915</v>
      </c>
      <c r="V42" s="11" t="s">
        <v>190</v>
      </c>
      <c r="W42" s="11" t="s">
        <v>190</v>
      </c>
      <c r="X42" s="11" t="s">
        <v>190</v>
      </c>
      <c r="Y42" s="11" t="s">
        <v>190</v>
      </c>
      <c r="Z42" s="11" t="s">
        <v>190</v>
      </c>
      <c r="AA42" s="15"/>
      <c r="AB42" s="11" t="s">
        <v>190</v>
      </c>
      <c r="AC42" s="12" t="s">
        <v>1182</v>
      </c>
      <c r="AD42" s="12"/>
      <c r="AE42" s="13" t="s">
        <v>1042</v>
      </c>
      <c r="AF42" s="14" t="s">
        <v>1045</v>
      </c>
      <c r="AG42" s="12"/>
      <c r="AH42" s="12"/>
    </row>
    <row r="43" spans="2:34" ht="10.25" customHeight="1" x14ac:dyDescent="0.55000000000000004">
      <c r="B43" s="13" t="s">
        <v>808</v>
      </c>
      <c r="C43" s="13">
        <v>34</v>
      </c>
      <c r="D43" s="13" t="s">
        <v>808</v>
      </c>
      <c r="E43" s="14" t="s">
        <v>394</v>
      </c>
      <c r="F43" s="14" t="s">
        <v>385</v>
      </c>
      <c r="G43" s="11" t="s">
        <v>190</v>
      </c>
      <c r="H43" s="11" t="s">
        <v>190</v>
      </c>
      <c r="I43" s="11" t="s">
        <v>190</v>
      </c>
      <c r="J43" s="11" t="s">
        <v>190</v>
      </c>
      <c r="K43" s="11" t="s">
        <v>190</v>
      </c>
      <c r="L43" s="11" t="s">
        <v>190</v>
      </c>
      <c r="M43" s="149" t="s">
        <v>809</v>
      </c>
      <c r="N43" s="11" t="s">
        <v>190</v>
      </c>
      <c r="O43" s="11" t="s">
        <v>190</v>
      </c>
      <c r="P43" s="11" t="s">
        <v>190</v>
      </c>
      <c r="Q43" s="11" t="s">
        <v>190</v>
      </c>
      <c r="R43" s="11" t="s">
        <v>190</v>
      </c>
      <c r="S43" s="11" t="s">
        <v>190</v>
      </c>
      <c r="T43" s="14" t="s">
        <v>916</v>
      </c>
      <c r="U43" s="14" t="s">
        <v>917</v>
      </c>
      <c r="V43" s="11" t="s">
        <v>190</v>
      </c>
      <c r="W43" s="11" t="s">
        <v>190</v>
      </c>
      <c r="X43" s="11" t="s">
        <v>190</v>
      </c>
      <c r="Y43" s="11" t="s">
        <v>190</v>
      </c>
      <c r="Z43" s="11" t="s">
        <v>190</v>
      </c>
      <c r="AA43" s="15"/>
      <c r="AB43" s="11" t="s">
        <v>190</v>
      </c>
      <c r="AC43" s="12" t="s">
        <v>1182</v>
      </c>
      <c r="AD43" s="12"/>
      <c r="AE43" s="13" t="s">
        <v>1042</v>
      </c>
      <c r="AF43" s="14" t="s">
        <v>1045</v>
      </c>
      <c r="AG43" s="12"/>
      <c r="AH43" s="12"/>
    </row>
    <row r="44" spans="2:34" ht="10.25" customHeight="1" x14ac:dyDescent="0.55000000000000004">
      <c r="B44" s="13" t="s">
        <v>815</v>
      </c>
      <c r="C44" s="13">
        <v>35</v>
      </c>
      <c r="D44" s="13" t="s">
        <v>815</v>
      </c>
      <c r="E44" s="14" t="s">
        <v>390</v>
      </c>
      <c r="F44" s="14" t="s">
        <v>399</v>
      </c>
      <c r="G44" s="11" t="s">
        <v>190</v>
      </c>
      <c r="H44" s="11" t="s">
        <v>190</v>
      </c>
      <c r="I44" s="11" t="s">
        <v>190</v>
      </c>
      <c r="J44" s="11" t="s">
        <v>190</v>
      </c>
      <c r="K44" s="11" t="s">
        <v>190</v>
      </c>
      <c r="L44" s="11" t="s">
        <v>190</v>
      </c>
      <c r="M44" s="149" t="s">
        <v>816</v>
      </c>
      <c r="N44" s="11" t="s">
        <v>190</v>
      </c>
      <c r="O44" s="11" t="s">
        <v>190</v>
      </c>
      <c r="P44" s="11" t="s">
        <v>190</v>
      </c>
      <c r="Q44" s="14" t="s">
        <v>106</v>
      </c>
      <c r="R44" s="11" t="s">
        <v>190</v>
      </c>
      <c r="S44" s="11" t="s">
        <v>190</v>
      </c>
      <c r="T44" s="14" t="s">
        <v>918</v>
      </c>
      <c r="U44" s="14" t="s">
        <v>919</v>
      </c>
      <c r="V44" s="11" t="s">
        <v>190</v>
      </c>
      <c r="W44" s="11" t="s">
        <v>190</v>
      </c>
      <c r="X44" s="11" t="s">
        <v>190</v>
      </c>
      <c r="Y44" s="11" t="s">
        <v>190</v>
      </c>
      <c r="Z44" s="11" t="s">
        <v>190</v>
      </c>
      <c r="AA44" s="15"/>
      <c r="AB44" s="11" t="s">
        <v>190</v>
      </c>
      <c r="AC44" s="12" t="s">
        <v>1182</v>
      </c>
      <c r="AD44" s="12"/>
      <c r="AE44" s="13" t="s">
        <v>1042</v>
      </c>
      <c r="AF44" s="14" t="s">
        <v>1045</v>
      </c>
      <c r="AG44" s="12"/>
      <c r="AH44" s="12"/>
    </row>
    <row r="45" spans="2:34" ht="10.25" customHeight="1" x14ac:dyDescent="0.55000000000000004">
      <c r="B45" s="13" t="s">
        <v>1001</v>
      </c>
      <c r="C45" s="13">
        <v>36</v>
      </c>
      <c r="D45" s="13" t="s">
        <v>1001</v>
      </c>
      <c r="E45" s="14" t="s">
        <v>387</v>
      </c>
      <c r="F45" s="14" t="s">
        <v>395</v>
      </c>
      <c r="G45" s="14" t="s">
        <v>675</v>
      </c>
      <c r="H45" s="11" t="s">
        <v>190</v>
      </c>
      <c r="I45" s="11" t="s">
        <v>190</v>
      </c>
      <c r="J45" s="11" t="s">
        <v>190</v>
      </c>
      <c r="K45" s="11" t="s">
        <v>190</v>
      </c>
      <c r="L45" s="11" t="s">
        <v>190</v>
      </c>
      <c r="M45" s="149" t="s">
        <v>817</v>
      </c>
      <c r="N45" s="14" t="s">
        <v>547</v>
      </c>
      <c r="O45" s="14" t="s">
        <v>540</v>
      </c>
      <c r="P45" s="14" t="s">
        <v>543</v>
      </c>
      <c r="Q45" s="11" t="s">
        <v>190</v>
      </c>
      <c r="R45" s="11" t="s">
        <v>190</v>
      </c>
      <c r="S45" s="11" t="s">
        <v>190</v>
      </c>
      <c r="T45" s="14" t="s">
        <v>920</v>
      </c>
      <c r="U45" s="14" t="s">
        <v>921</v>
      </c>
      <c r="V45" s="11" t="s">
        <v>190</v>
      </c>
      <c r="W45" s="11" t="s">
        <v>190</v>
      </c>
      <c r="X45" s="11" t="s">
        <v>190</v>
      </c>
      <c r="Y45" s="11" t="s">
        <v>190</v>
      </c>
      <c r="Z45" s="11" t="s">
        <v>190</v>
      </c>
      <c r="AA45" s="15"/>
      <c r="AB45" s="11" t="s">
        <v>190</v>
      </c>
      <c r="AC45" s="12" t="s">
        <v>1182</v>
      </c>
      <c r="AD45" s="12"/>
      <c r="AE45" s="13" t="s">
        <v>1042</v>
      </c>
      <c r="AF45" s="14" t="s">
        <v>1045</v>
      </c>
      <c r="AG45" s="12"/>
      <c r="AH45" s="12"/>
    </row>
    <row r="46" spans="2:34" ht="10.25" customHeight="1" x14ac:dyDescent="0.55000000000000004">
      <c r="B46" s="13" t="s">
        <v>113</v>
      </c>
      <c r="C46" s="13">
        <v>37</v>
      </c>
      <c r="D46" s="13" t="s">
        <v>113</v>
      </c>
      <c r="E46" s="14" t="s">
        <v>451</v>
      </c>
      <c r="F46" s="14" t="s">
        <v>391</v>
      </c>
      <c r="G46" s="11" t="s">
        <v>190</v>
      </c>
      <c r="H46" s="11" t="s">
        <v>190</v>
      </c>
      <c r="I46" s="11" t="s">
        <v>190</v>
      </c>
      <c r="J46" s="11" t="s">
        <v>190</v>
      </c>
      <c r="K46" s="11" t="s">
        <v>190</v>
      </c>
      <c r="L46" s="11" t="s">
        <v>190</v>
      </c>
      <c r="M46" s="149" t="s">
        <v>818</v>
      </c>
      <c r="N46" s="14" t="s">
        <v>544</v>
      </c>
      <c r="O46" s="14" t="s">
        <v>542</v>
      </c>
      <c r="P46" s="14" t="s">
        <v>546</v>
      </c>
      <c r="Q46" s="11" t="s">
        <v>190</v>
      </c>
      <c r="R46" s="11" t="s">
        <v>190</v>
      </c>
      <c r="S46" s="11" t="s">
        <v>190</v>
      </c>
      <c r="T46" s="14" t="s">
        <v>922</v>
      </c>
      <c r="U46" s="14" t="s">
        <v>923</v>
      </c>
      <c r="V46" s="11" t="s">
        <v>190</v>
      </c>
      <c r="W46" s="11" t="s">
        <v>190</v>
      </c>
      <c r="X46" s="11" t="s">
        <v>190</v>
      </c>
      <c r="Y46" s="11" t="s">
        <v>190</v>
      </c>
      <c r="Z46" s="11" t="s">
        <v>190</v>
      </c>
      <c r="AA46" s="15"/>
      <c r="AB46" s="11" t="s">
        <v>190</v>
      </c>
      <c r="AC46" s="12" t="s">
        <v>1182</v>
      </c>
      <c r="AD46" s="12"/>
      <c r="AE46" s="13" t="s">
        <v>1042</v>
      </c>
      <c r="AF46" s="14" t="s">
        <v>1045</v>
      </c>
      <c r="AG46" s="12"/>
      <c r="AH46" s="12"/>
    </row>
    <row r="47" spans="2:34" ht="10.25" customHeight="1" x14ac:dyDescent="0.55000000000000004">
      <c r="B47" s="13" t="s">
        <v>115</v>
      </c>
      <c r="C47" s="13">
        <v>38</v>
      </c>
      <c r="D47" s="13" t="s">
        <v>115</v>
      </c>
      <c r="E47" s="14" t="s">
        <v>384</v>
      </c>
      <c r="F47" s="14" t="s">
        <v>452</v>
      </c>
      <c r="G47" s="11" t="s">
        <v>190</v>
      </c>
      <c r="H47" s="11" t="s">
        <v>190</v>
      </c>
      <c r="I47" s="11" t="s">
        <v>190</v>
      </c>
      <c r="J47" s="11" t="s">
        <v>190</v>
      </c>
      <c r="K47" s="11" t="s">
        <v>190</v>
      </c>
      <c r="L47" s="11" t="s">
        <v>190</v>
      </c>
      <c r="M47" s="149" t="s">
        <v>819</v>
      </c>
      <c r="N47" s="14" t="s">
        <v>541</v>
      </c>
      <c r="O47" s="14" t="s">
        <v>545</v>
      </c>
      <c r="P47" s="11" t="s">
        <v>190</v>
      </c>
      <c r="Q47" s="11" t="s">
        <v>190</v>
      </c>
      <c r="R47" s="11" t="s">
        <v>190</v>
      </c>
      <c r="S47" s="11" t="s">
        <v>190</v>
      </c>
      <c r="T47" s="14" t="s">
        <v>924</v>
      </c>
      <c r="U47" s="14" t="s">
        <v>925</v>
      </c>
      <c r="V47" s="11" t="s">
        <v>190</v>
      </c>
      <c r="W47" s="11" t="s">
        <v>190</v>
      </c>
      <c r="X47" s="11" t="s">
        <v>190</v>
      </c>
      <c r="Y47" s="11" t="s">
        <v>190</v>
      </c>
      <c r="Z47" s="11" t="s">
        <v>190</v>
      </c>
      <c r="AA47" s="15"/>
      <c r="AB47" s="11" t="s">
        <v>190</v>
      </c>
      <c r="AC47" s="12" t="s">
        <v>1182</v>
      </c>
      <c r="AD47" s="12"/>
      <c r="AE47" s="13" t="s">
        <v>1042</v>
      </c>
      <c r="AF47" s="14" t="s">
        <v>1045</v>
      </c>
      <c r="AG47" s="12"/>
      <c r="AH47" s="12"/>
    </row>
    <row r="48" spans="2:34" ht="10.25" customHeight="1" x14ac:dyDescent="0.55000000000000004">
      <c r="B48" s="13" t="s">
        <v>117</v>
      </c>
      <c r="C48" s="13">
        <v>39</v>
      </c>
      <c r="D48" s="13" t="s">
        <v>117</v>
      </c>
      <c r="E48" s="14" t="s">
        <v>381</v>
      </c>
      <c r="F48" s="14" t="s">
        <v>388</v>
      </c>
      <c r="G48" s="11" t="s">
        <v>190</v>
      </c>
      <c r="H48" s="11" t="s">
        <v>190</v>
      </c>
      <c r="I48" s="14" t="s">
        <v>834</v>
      </c>
      <c r="J48" s="152" t="s">
        <v>835</v>
      </c>
      <c r="K48" s="11" t="s">
        <v>190</v>
      </c>
      <c r="L48" s="11" t="s">
        <v>190</v>
      </c>
      <c r="M48" s="11" t="s">
        <v>190</v>
      </c>
      <c r="N48" s="14" t="s">
        <v>549</v>
      </c>
      <c r="O48" s="14" t="s">
        <v>548</v>
      </c>
      <c r="P48" s="11" t="s">
        <v>190</v>
      </c>
      <c r="Q48" s="11" t="s">
        <v>190</v>
      </c>
      <c r="R48" s="11" t="s">
        <v>190</v>
      </c>
      <c r="S48" s="11" t="s">
        <v>190</v>
      </c>
      <c r="T48" s="14" t="s">
        <v>926</v>
      </c>
      <c r="U48" s="14" t="s">
        <v>927</v>
      </c>
      <c r="V48" s="11" t="s">
        <v>190</v>
      </c>
      <c r="W48" s="11" t="s">
        <v>190</v>
      </c>
      <c r="X48" s="11" t="s">
        <v>190</v>
      </c>
      <c r="Y48" s="11" t="s">
        <v>190</v>
      </c>
      <c r="Z48" s="11" t="s">
        <v>190</v>
      </c>
      <c r="AA48" s="15"/>
      <c r="AB48" s="11" t="s">
        <v>190</v>
      </c>
      <c r="AC48" s="12" t="s">
        <v>1182</v>
      </c>
      <c r="AD48" s="12"/>
      <c r="AE48" s="13" t="s">
        <v>1042</v>
      </c>
      <c r="AF48" s="14" t="s">
        <v>1045</v>
      </c>
      <c r="AG48" s="12"/>
      <c r="AH48" s="12"/>
    </row>
    <row r="49" spans="2:34" ht="10.25" customHeight="1" x14ac:dyDescent="0.55000000000000004">
      <c r="B49" s="13" t="s">
        <v>119</v>
      </c>
      <c r="C49" s="13">
        <v>40</v>
      </c>
      <c r="D49" s="13" t="s">
        <v>119</v>
      </c>
      <c r="E49" s="14" t="s">
        <v>419</v>
      </c>
      <c r="F49" s="14" t="s">
        <v>385</v>
      </c>
      <c r="G49" s="11" t="s">
        <v>190</v>
      </c>
      <c r="H49" s="11" t="s">
        <v>190</v>
      </c>
      <c r="I49" s="150" t="s">
        <v>836</v>
      </c>
      <c r="J49" s="151" t="s">
        <v>837</v>
      </c>
      <c r="K49" s="11" t="s">
        <v>190</v>
      </c>
      <c r="L49" s="11" t="s">
        <v>190</v>
      </c>
      <c r="M49" s="11" t="s">
        <v>190</v>
      </c>
      <c r="N49" s="14" t="s">
        <v>550</v>
      </c>
      <c r="O49" s="11" t="s">
        <v>190</v>
      </c>
      <c r="P49" s="11" t="s">
        <v>190</v>
      </c>
      <c r="Q49" s="11" t="s">
        <v>190</v>
      </c>
      <c r="R49" s="11" t="s">
        <v>190</v>
      </c>
      <c r="S49" s="11" t="s">
        <v>190</v>
      </c>
      <c r="T49" s="14" t="s">
        <v>928</v>
      </c>
      <c r="U49" s="14" t="s">
        <v>929</v>
      </c>
      <c r="V49" s="11" t="s">
        <v>190</v>
      </c>
      <c r="W49" s="11" t="s">
        <v>190</v>
      </c>
      <c r="X49" s="11" t="s">
        <v>190</v>
      </c>
      <c r="Y49" s="11" t="s">
        <v>190</v>
      </c>
      <c r="Z49" s="11" t="s">
        <v>190</v>
      </c>
      <c r="AA49" s="15"/>
      <c r="AB49" s="11" t="s">
        <v>190</v>
      </c>
      <c r="AC49" s="12" t="s">
        <v>1182</v>
      </c>
      <c r="AD49" s="12"/>
      <c r="AE49" s="13" t="s">
        <v>1042</v>
      </c>
      <c r="AF49" s="14" t="s">
        <v>1045</v>
      </c>
      <c r="AG49" s="12"/>
      <c r="AH49" s="12"/>
    </row>
    <row r="50" spans="2:34" ht="10.25" customHeight="1" x14ac:dyDescent="0.55000000000000004">
      <c r="B50" s="13" t="s">
        <v>121</v>
      </c>
      <c r="C50" s="13">
        <v>41</v>
      </c>
      <c r="D50" s="13" t="s">
        <v>121</v>
      </c>
      <c r="E50" s="14" t="s">
        <v>414</v>
      </c>
      <c r="F50" s="14" t="s">
        <v>426</v>
      </c>
      <c r="G50" s="11" t="s">
        <v>190</v>
      </c>
      <c r="H50" s="11" t="s">
        <v>190</v>
      </c>
      <c r="I50" s="14" t="s">
        <v>981</v>
      </c>
      <c r="J50" s="14" t="s">
        <v>984</v>
      </c>
      <c r="K50" s="11" t="s">
        <v>190</v>
      </c>
      <c r="L50" s="11" t="s">
        <v>190</v>
      </c>
      <c r="M50" s="11" t="s">
        <v>190</v>
      </c>
      <c r="N50" s="11" t="s">
        <v>190</v>
      </c>
      <c r="O50" s="11" t="s">
        <v>190</v>
      </c>
      <c r="P50" s="11" t="s">
        <v>190</v>
      </c>
      <c r="Q50" s="11" t="s">
        <v>190</v>
      </c>
      <c r="R50" s="11" t="s">
        <v>190</v>
      </c>
      <c r="S50" s="11" t="s">
        <v>190</v>
      </c>
      <c r="T50" s="14" t="s">
        <v>930</v>
      </c>
      <c r="U50" s="14" t="s">
        <v>931</v>
      </c>
      <c r="V50" s="11" t="s">
        <v>190</v>
      </c>
      <c r="W50" s="11" t="s">
        <v>190</v>
      </c>
      <c r="X50" s="11" t="s">
        <v>190</v>
      </c>
      <c r="Y50" s="11" t="s">
        <v>190</v>
      </c>
      <c r="Z50" s="11" t="s">
        <v>190</v>
      </c>
      <c r="AA50" s="15"/>
      <c r="AB50" s="11" t="s">
        <v>190</v>
      </c>
      <c r="AC50" s="12" t="s">
        <v>1182</v>
      </c>
      <c r="AD50" s="12"/>
      <c r="AE50" s="13" t="s">
        <v>1042</v>
      </c>
      <c r="AF50" s="14" t="s">
        <v>1045</v>
      </c>
      <c r="AG50" s="12"/>
      <c r="AH50" s="12"/>
    </row>
    <row r="51" spans="2:34" ht="10.25" customHeight="1" x14ac:dyDescent="0.55000000000000004">
      <c r="B51" s="13" t="s">
        <v>123</v>
      </c>
      <c r="C51" s="13">
        <v>42</v>
      </c>
      <c r="D51" s="13" t="s">
        <v>123</v>
      </c>
      <c r="E51" s="14" t="s">
        <v>411</v>
      </c>
      <c r="F51" s="14" t="s">
        <v>420</v>
      </c>
      <c r="G51" s="11" t="s">
        <v>190</v>
      </c>
      <c r="H51" s="11" t="s">
        <v>190</v>
      </c>
      <c r="I51" s="14" t="s">
        <v>838</v>
      </c>
      <c r="J51" s="14" t="s">
        <v>1124</v>
      </c>
      <c r="K51" s="11" t="s">
        <v>190</v>
      </c>
      <c r="L51" s="11" t="s">
        <v>190</v>
      </c>
      <c r="M51" s="11" t="s">
        <v>190</v>
      </c>
      <c r="N51" s="11" t="s">
        <v>190</v>
      </c>
      <c r="O51" s="11" t="s">
        <v>190</v>
      </c>
      <c r="P51" s="11" t="s">
        <v>190</v>
      </c>
      <c r="Q51" s="11" t="s">
        <v>190</v>
      </c>
      <c r="R51" s="11" t="s">
        <v>190</v>
      </c>
      <c r="S51" s="11" t="s">
        <v>190</v>
      </c>
      <c r="T51" s="14" t="s">
        <v>932</v>
      </c>
      <c r="U51" s="14" t="s">
        <v>933</v>
      </c>
      <c r="V51" s="11" t="s">
        <v>190</v>
      </c>
      <c r="W51" s="11" t="s">
        <v>190</v>
      </c>
      <c r="X51" s="11" t="s">
        <v>190</v>
      </c>
      <c r="Y51" s="11" t="s">
        <v>190</v>
      </c>
      <c r="Z51" s="11" t="s">
        <v>190</v>
      </c>
      <c r="AA51" s="15"/>
      <c r="AB51" s="11" t="s">
        <v>190</v>
      </c>
      <c r="AC51" s="12" t="s">
        <v>1182</v>
      </c>
      <c r="AD51" s="12"/>
      <c r="AE51" s="13" t="s">
        <v>1042</v>
      </c>
      <c r="AF51" s="14" t="s">
        <v>1045</v>
      </c>
      <c r="AG51" s="12"/>
      <c r="AH51" s="12"/>
    </row>
    <row r="52" spans="2:34" ht="10.25" customHeight="1" x14ac:dyDescent="0.55000000000000004">
      <c r="B52" s="13" t="s">
        <v>124</v>
      </c>
      <c r="C52" s="52">
        <v>43</v>
      </c>
      <c r="D52" s="13" t="s">
        <v>124</v>
      </c>
      <c r="E52" s="14" t="s">
        <v>407</v>
      </c>
      <c r="F52" s="14" t="s">
        <v>415</v>
      </c>
      <c r="G52" s="11" t="s">
        <v>190</v>
      </c>
      <c r="H52" s="11" t="s">
        <v>190</v>
      </c>
      <c r="I52" s="11" t="s">
        <v>190</v>
      </c>
      <c r="J52" s="11" t="s">
        <v>190</v>
      </c>
      <c r="K52" s="11" t="s">
        <v>190</v>
      </c>
      <c r="L52" s="11" t="s">
        <v>190</v>
      </c>
      <c r="M52" s="11" t="s">
        <v>190</v>
      </c>
      <c r="N52" s="11" t="s">
        <v>190</v>
      </c>
      <c r="O52" s="11" t="s">
        <v>190</v>
      </c>
      <c r="P52" s="11" t="s">
        <v>190</v>
      </c>
      <c r="Q52" s="14" t="s">
        <v>108</v>
      </c>
      <c r="R52" s="11" t="s">
        <v>190</v>
      </c>
      <c r="S52" s="11" t="s">
        <v>190</v>
      </c>
      <c r="T52" s="14" t="s">
        <v>934</v>
      </c>
      <c r="U52" s="14" t="s">
        <v>935</v>
      </c>
      <c r="V52" s="11" t="s">
        <v>190</v>
      </c>
      <c r="W52" s="11" t="s">
        <v>190</v>
      </c>
      <c r="X52" s="11" t="s">
        <v>190</v>
      </c>
      <c r="Y52" s="11" t="s">
        <v>190</v>
      </c>
      <c r="Z52" s="11" t="s">
        <v>190</v>
      </c>
      <c r="AA52" s="15"/>
      <c r="AB52" s="11" t="s">
        <v>190</v>
      </c>
      <c r="AC52" s="12"/>
      <c r="AD52" s="12"/>
      <c r="AE52" s="13" t="s">
        <v>1042</v>
      </c>
      <c r="AF52" s="14" t="s">
        <v>1045</v>
      </c>
      <c r="AG52" s="12"/>
      <c r="AH52" s="12"/>
    </row>
    <row r="53" spans="2:34" ht="10.25" customHeight="1" x14ac:dyDescent="0.55000000000000004">
      <c r="B53" s="9" t="s">
        <v>179</v>
      </c>
      <c r="C53" s="10">
        <v>44</v>
      </c>
      <c r="D53" s="11" t="s">
        <v>190</v>
      </c>
      <c r="E53" s="11" t="s">
        <v>190</v>
      </c>
      <c r="F53" s="11" t="s">
        <v>190</v>
      </c>
      <c r="G53" s="11" t="s">
        <v>190</v>
      </c>
      <c r="H53" s="11" t="s">
        <v>190</v>
      </c>
      <c r="I53" s="11" t="s">
        <v>190</v>
      </c>
      <c r="J53" s="11" t="s">
        <v>190</v>
      </c>
      <c r="K53" s="11" t="s">
        <v>190</v>
      </c>
      <c r="L53" s="11" t="s">
        <v>190</v>
      </c>
      <c r="M53" s="11" t="s">
        <v>190</v>
      </c>
      <c r="N53" s="11" t="s">
        <v>190</v>
      </c>
      <c r="O53" s="11" t="s">
        <v>190</v>
      </c>
      <c r="P53" s="11" t="s">
        <v>190</v>
      </c>
      <c r="Q53" s="11" t="s">
        <v>190</v>
      </c>
      <c r="R53" s="11" t="s">
        <v>190</v>
      </c>
      <c r="S53" s="11" t="s">
        <v>190</v>
      </c>
      <c r="T53" s="11" t="s">
        <v>190</v>
      </c>
      <c r="U53" s="11" t="s">
        <v>190</v>
      </c>
      <c r="V53" s="11" t="s">
        <v>190</v>
      </c>
      <c r="W53" s="11" t="s">
        <v>190</v>
      </c>
      <c r="X53" s="11" t="s">
        <v>190</v>
      </c>
      <c r="Y53" s="11" t="s">
        <v>190</v>
      </c>
      <c r="Z53" s="11" t="s">
        <v>190</v>
      </c>
      <c r="AA53" s="9" t="s">
        <v>179</v>
      </c>
      <c r="AB53" s="11" t="s">
        <v>190</v>
      </c>
      <c r="AC53" s="12"/>
      <c r="AD53" s="12" t="s">
        <v>355</v>
      </c>
      <c r="AE53" s="13" t="s">
        <v>360</v>
      </c>
      <c r="AF53" s="14" t="s">
        <v>360</v>
      </c>
      <c r="AG53" s="12"/>
      <c r="AH53" s="12"/>
    </row>
    <row r="54" spans="2:34" ht="10.25" customHeight="1" x14ac:dyDescent="0.55000000000000004">
      <c r="B54" s="16" t="s">
        <v>180</v>
      </c>
      <c r="C54" s="10">
        <v>45</v>
      </c>
      <c r="D54" s="11" t="s">
        <v>190</v>
      </c>
      <c r="E54" s="11" t="s">
        <v>190</v>
      </c>
      <c r="F54" s="11" t="s">
        <v>190</v>
      </c>
      <c r="G54" s="11" t="s">
        <v>190</v>
      </c>
      <c r="H54" s="11" t="s">
        <v>190</v>
      </c>
      <c r="I54" s="11" t="s">
        <v>190</v>
      </c>
      <c r="J54" s="11" t="s">
        <v>190</v>
      </c>
      <c r="K54" s="11" t="s">
        <v>190</v>
      </c>
      <c r="L54" s="11" t="s">
        <v>190</v>
      </c>
      <c r="M54" s="11" t="s">
        <v>190</v>
      </c>
      <c r="N54" s="11" t="s">
        <v>190</v>
      </c>
      <c r="O54" s="11" t="s">
        <v>190</v>
      </c>
      <c r="P54" s="11" t="s">
        <v>190</v>
      </c>
      <c r="Q54" s="11" t="s">
        <v>190</v>
      </c>
      <c r="R54" s="11" t="s">
        <v>190</v>
      </c>
      <c r="S54" s="11" t="s">
        <v>190</v>
      </c>
      <c r="T54" s="11" t="s">
        <v>190</v>
      </c>
      <c r="U54" s="11" t="s">
        <v>190</v>
      </c>
      <c r="V54" s="11" t="s">
        <v>190</v>
      </c>
      <c r="W54" s="11" t="s">
        <v>190</v>
      </c>
      <c r="X54" s="11" t="s">
        <v>190</v>
      </c>
      <c r="Y54" s="11" t="s">
        <v>190</v>
      </c>
      <c r="Z54" s="11" t="s">
        <v>190</v>
      </c>
      <c r="AA54" s="16" t="s">
        <v>180</v>
      </c>
      <c r="AB54" s="11" t="s">
        <v>190</v>
      </c>
      <c r="AC54" s="12"/>
      <c r="AD54" s="12" t="s">
        <v>354</v>
      </c>
      <c r="AE54" s="13" t="s">
        <v>360</v>
      </c>
      <c r="AF54" s="14" t="s">
        <v>360</v>
      </c>
      <c r="AG54" s="12"/>
      <c r="AH54" s="12"/>
    </row>
    <row r="55" spans="2:34" ht="10.25" customHeight="1" x14ac:dyDescent="0.55000000000000004">
      <c r="B55" s="13" t="s">
        <v>1002</v>
      </c>
      <c r="C55" s="52">
        <v>46</v>
      </c>
      <c r="D55" s="13" t="s">
        <v>1002</v>
      </c>
      <c r="E55" s="14" t="s">
        <v>403</v>
      </c>
      <c r="F55" s="14" t="s">
        <v>370</v>
      </c>
      <c r="G55" s="14" t="s">
        <v>725</v>
      </c>
      <c r="H55" s="11" t="s">
        <v>190</v>
      </c>
      <c r="I55" s="14" t="s">
        <v>839</v>
      </c>
      <c r="J55" s="14" t="s">
        <v>840</v>
      </c>
      <c r="K55" s="14" t="s">
        <v>190</v>
      </c>
      <c r="L55" s="14" t="s">
        <v>841</v>
      </c>
      <c r="M55" s="11" t="s">
        <v>190</v>
      </c>
      <c r="N55" s="14" t="s">
        <v>508</v>
      </c>
      <c r="O55" s="14" t="s">
        <v>497</v>
      </c>
      <c r="P55" s="14" t="s">
        <v>502</v>
      </c>
      <c r="Q55" s="14" t="s">
        <v>112</v>
      </c>
      <c r="R55" s="11" t="s">
        <v>190</v>
      </c>
      <c r="S55" s="11" t="s">
        <v>190</v>
      </c>
      <c r="T55" s="14" t="s">
        <v>894</v>
      </c>
      <c r="U55" s="14" t="s">
        <v>895</v>
      </c>
      <c r="V55" s="11" t="s">
        <v>190</v>
      </c>
      <c r="W55" s="11" t="s">
        <v>190</v>
      </c>
      <c r="X55" s="11" t="s">
        <v>190</v>
      </c>
      <c r="Y55" s="11" t="s">
        <v>190</v>
      </c>
      <c r="Z55" s="11" t="s">
        <v>190</v>
      </c>
      <c r="AA55" s="15"/>
      <c r="AB55" s="11" t="s">
        <v>190</v>
      </c>
      <c r="AC55" s="12" t="s">
        <v>1182</v>
      </c>
      <c r="AD55" s="12"/>
      <c r="AE55" s="13" t="s">
        <v>1042</v>
      </c>
      <c r="AF55" s="14" t="s">
        <v>1045</v>
      </c>
      <c r="AG55" s="12"/>
      <c r="AH55" s="12"/>
    </row>
    <row r="56" spans="2:34" ht="10.25" customHeight="1" x14ac:dyDescent="0.55000000000000004">
      <c r="B56" s="13" t="s">
        <v>125</v>
      </c>
      <c r="C56" s="52">
        <v>47</v>
      </c>
      <c r="D56" s="13" t="s">
        <v>125</v>
      </c>
      <c r="E56" s="14" t="s">
        <v>398</v>
      </c>
      <c r="F56" s="14" t="s">
        <v>408</v>
      </c>
      <c r="G56" s="14" t="s">
        <v>728</v>
      </c>
      <c r="H56" s="11" t="s">
        <v>190</v>
      </c>
      <c r="I56" s="14" t="s">
        <v>843</v>
      </c>
      <c r="J56" s="14" t="s">
        <v>844</v>
      </c>
      <c r="K56" s="11" t="s">
        <v>190</v>
      </c>
      <c r="L56" s="14" t="s">
        <v>842</v>
      </c>
      <c r="M56" s="11" t="s">
        <v>190</v>
      </c>
      <c r="N56" s="14" t="s">
        <v>503</v>
      </c>
      <c r="O56" s="14" t="s">
        <v>501</v>
      </c>
      <c r="P56" s="14" t="s">
        <v>507</v>
      </c>
      <c r="Q56" s="14" t="s">
        <v>114</v>
      </c>
      <c r="R56" s="11" t="s">
        <v>190</v>
      </c>
      <c r="S56" s="11" t="s">
        <v>190</v>
      </c>
      <c r="T56" s="14" t="s">
        <v>896</v>
      </c>
      <c r="U56" s="14" t="s">
        <v>897</v>
      </c>
      <c r="V56" s="11" t="s">
        <v>190</v>
      </c>
      <c r="W56" s="11" t="s">
        <v>190</v>
      </c>
      <c r="X56" s="11" t="s">
        <v>190</v>
      </c>
      <c r="Y56" s="11" t="s">
        <v>190</v>
      </c>
      <c r="Z56" s="11" t="s">
        <v>190</v>
      </c>
      <c r="AA56" s="15"/>
      <c r="AB56" s="11" t="s">
        <v>190</v>
      </c>
      <c r="AC56" s="12" t="s">
        <v>1182</v>
      </c>
      <c r="AD56" s="12"/>
      <c r="AE56" s="13" t="s">
        <v>1042</v>
      </c>
      <c r="AF56" s="14" t="s">
        <v>1045</v>
      </c>
      <c r="AG56" s="12"/>
      <c r="AH56" s="12"/>
    </row>
    <row r="57" spans="2:34" ht="10.25" customHeight="1" x14ac:dyDescent="0.55000000000000004">
      <c r="B57" s="13" t="s">
        <v>126</v>
      </c>
      <c r="C57" s="13">
        <v>48</v>
      </c>
      <c r="D57" s="13" t="s">
        <v>126</v>
      </c>
      <c r="E57" s="14" t="s">
        <v>394</v>
      </c>
      <c r="F57" s="14" t="s">
        <v>404</v>
      </c>
      <c r="G57" s="14" t="s">
        <v>729</v>
      </c>
      <c r="H57" s="11" t="s">
        <v>190</v>
      </c>
      <c r="I57" s="14" t="s">
        <v>980</v>
      </c>
      <c r="J57" s="153" t="s">
        <v>985</v>
      </c>
      <c r="K57" s="11" t="s">
        <v>190</v>
      </c>
      <c r="L57" s="153" t="s">
        <v>845</v>
      </c>
      <c r="M57" s="11" t="s">
        <v>190</v>
      </c>
      <c r="N57" s="14" t="s">
        <v>498</v>
      </c>
      <c r="O57" s="14" t="s">
        <v>506</v>
      </c>
      <c r="P57" s="11" t="s">
        <v>190</v>
      </c>
      <c r="Q57" s="11" t="s">
        <v>190</v>
      </c>
      <c r="R57" s="11" t="s">
        <v>190</v>
      </c>
      <c r="S57" s="11" t="s">
        <v>190</v>
      </c>
      <c r="T57" s="14" t="s">
        <v>898</v>
      </c>
      <c r="U57" s="14" t="s">
        <v>899</v>
      </c>
      <c r="V57" s="11" t="s">
        <v>190</v>
      </c>
      <c r="W57" s="11" t="s">
        <v>190</v>
      </c>
      <c r="X57" s="11" t="s">
        <v>190</v>
      </c>
      <c r="Y57" s="11" t="s">
        <v>190</v>
      </c>
      <c r="Z57" s="11" t="s">
        <v>190</v>
      </c>
      <c r="AA57" s="15"/>
      <c r="AB57" s="11" t="s">
        <v>190</v>
      </c>
      <c r="AC57" s="12" t="s">
        <v>1182</v>
      </c>
      <c r="AD57" s="12"/>
      <c r="AE57" s="13" t="s">
        <v>1042</v>
      </c>
      <c r="AF57" s="14" t="s">
        <v>1045</v>
      </c>
      <c r="AG57" s="12"/>
      <c r="AH57" s="12"/>
    </row>
    <row r="58" spans="2:34" ht="10.25" customHeight="1" x14ac:dyDescent="0.55000000000000004">
      <c r="B58" s="13" t="s">
        <v>127</v>
      </c>
      <c r="C58" s="13">
        <v>49</v>
      </c>
      <c r="D58" s="13" t="s">
        <v>127</v>
      </c>
      <c r="E58" s="14" t="s">
        <v>390</v>
      </c>
      <c r="F58" s="14" t="s">
        <v>399</v>
      </c>
      <c r="G58" s="14" t="s">
        <v>730</v>
      </c>
      <c r="H58" s="11" t="s">
        <v>190</v>
      </c>
      <c r="I58" s="150" t="s">
        <v>847</v>
      </c>
      <c r="J58" s="151" t="s">
        <v>1113</v>
      </c>
      <c r="K58" s="11" t="s">
        <v>190</v>
      </c>
      <c r="L58" s="151" t="s">
        <v>846</v>
      </c>
      <c r="M58" s="11" t="s">
        <v>190</v>
      </c>
      <c r="N58" s="14" t="s">
        <v>512</v>
      </c>
      <c r="O58" s="14" t="s">
        <v>511</v>
      </c>
      <c r="P58" s="11" t="s">
        <v>190</v>
      </c>
      <c r="Q58" s="11" t="s">
        <v>190</v>
      </c>
      <c r="R58" s="11" t="s">
        <v>190</v>
      </c>
      <c r="S58" s="11" t="s">
        <v>190</v>
      </c>
      <c r="T58" s="14" t="s">
        <v>900</v>
      </c>
      <c r="U58" s="14" t="s">
        <v>901</v>
      </c>
      <c r="V58" s="11" t="s">
        <v>190</v>
      </c>
      <c r="W58" s="11" t="s">
        <v>190</v>
      </c>
      <c r="X58" s="11" t="s">
        <v>190</v>
      </c>
      <c r="Y58" s="11" t="s">
        <v>190</v>
      </c>
      <c r="Z58" s="11" t="s">
        <v>190</v>
      </c>
      <c r="AA58" s="15"/>
      <c r="AB58" s="11" t="s">
        <v>190</v>
      </c>
      <c r="AC58" s="12" t="s">
        <v>1182</v>
      </c>
      <c r="AD58" s="12"/>
      <c r="AE58" s="13" t="s">
        <v>1042</v>
      </c>
      <c r="AF58" s="14" t="s">
        <v>1045</v>
      </c>
      <c r="AG58" s="12"/>
      <c r="AH58" s="12"/>
    </row>
    <row r="59" spans="2:34" ht="10.25" customHeight="1" x14ac:dyDescent="0.55000000000000004">
      <c r="B59" s="13" t="s">
        <v>1003</v>
      </c>
      <c r="C59" s="13">
        <v>50</v>
      </c>
      <c r="D59" s="13" t="s">
        <v>1003</v>
      </c>
      <c r="E59" s="14" t="s">
        <v>557</v>
      </c>
      <c r="F59" s="14" t="s">
        <v>395</v>
      </c>
      <c r="G59" s="11" t="s">
        <v>190</v>
      </c>
      <c r="H59" s="11" t="s">
        <v>190</v>
      </c>
      <c r="I59" s="11" t="s">
        <v>190</v>
      </c>
      <c r="J59" s="11" t="s">
        <v>190</v>
      </c>
      <c r="K59" s="11" t="s">
        <v>190</v>
      </c>
      <c r="L59" s="11" t="s">
        <v>190</v>
      </c>
      <c r="M59" s="149" t="s">
        <v>820</v>
      </c>
      <c r="N59" s="11" t="s">
        <v>190</v>
      </c>
      <c r="O59" s="14" t="s">
        <v>368</v>
      </c>
      <c r="P59" s="11" t="s">
        <v>190</v>
      </c>
      <c r="Q59" s="11" t="s">
        <v>190</v>
      </c>
      <c r="R59" s="11" t="s">
        <v>190</v>
      </c>
      <c r="S59" s="11" t="s">
        <v>190</v>
      </c>
      <c r="T59" s="14" t="s">
        <v>902</v>
      </c>
      <c r="U59" s="14" t="s">
        <v>903</v>
      </c>
      <c r="V59" s="14" t="s">
        <v>595</v>
      </c>
      <c r="W59" s="14" t="s">
        <v>1062</v>
      </c>
      <c r="X59" s="11" t="s">
        <v>190</v>
      </c>
      <c r="Y59" s="11" t="s">
        <v>190</v>
      </c>
      <c r="Z59" s="11" t="s">
        <v>190</v>
      </c>
      <c r="AA59" s="15"/>
      <c r="AB59" s="11" t="s">
        <v>190</v>
      </c>
      <c r="AC59" s="12" t="s">
        <v>1182</v>
      </c>
      <c r="AD59" s="12"/>
      <c r="AE59" s="13" t="s">
        <v>1043</v>
      </c>
      <c r="AF59" s="14" t="s">
        <v>1045</v>
      </c>
      <c r="AG59" s="12"/>
      <c r="AH59" s="12"/>
    </row>
    <row r="60" spans="2:34" ht="10.25" customHeight="1" x14ac:dyDescent="0.55000000000000004">
      <c r="B60" s="13" t="s">
        <v>131</v>
      </c>
      <c r="C60" s="13">
        <v>51</v>
      </c>
      <c r="D60" s="13" t="s">
        <v>131</v>
      </c>
      <c r="E60" s="14" t="s">
        <v>380</v>
      </c>
      <c r="F60" s="14" t="s">
        <v>558</v>
      </c>
      <c r="G60" s="11" t="s">
        <v>190</v>
      </c>
      <c r="H60" s="11" t="s">
        <v>190</v>
      </c>
      <c r="I60" s="11" t="s">
        <v>190</v>
      </c>
      <c r="J60" s="11" t="s">
        <v>190</v>
      </c>
      <c r="K60" s="11" t="s">
        <v>190</v>
      </c>
      <c r="L60" s="11" t="s">
        <v>190</v>
      </c>
      <c r="M60" s="149" t="s">
        <v>821</v>
      </c>
      <c r="N60" s="11" t="s">
        <v>190</v>
      </c>
      <c r="O60" s="14" t="s">
        <v>371</v>
      </c>
      <c r="P60" s="11" t="s">
        <v>190</v>
      </c>
      <c r="Q60" s="11" t="s">
        <v>190</v>
      </c>
      <c r="R60" s="11" t="s">
        <v>190</v>
      </c>
      <c r="S60" s="11" t="s">
        <v>190</v>
      </c>
      <c r="T60" s="14" t="s">
        <v>904</v>
      </c>
      <c r="U60" s="14" t="s">
        <v>905</v>
      </c>
      <c r="V60" s="14" t="s">
        <v>593</v>
      </c>
      <c r="W60" s="14" t="s">
        <v>594</v>
      </c>
      <c r="X60" s="11" t="s">
        <v>190</v>
      </c>
      <c r="Y60" s="11" t="s">
        <v>190</v>
      </c>
      <c r="Z60" s="11" t="s">
        <v>190</v>
      </c>
      <c r="AA60" s="15"/>
      <c r="AB60" s="11" t="s">
        <v>190</v>
      </c>
      <c r="AC60" s="12" t="s">
        <v>1182</v>
      </c>
      <c r="AD60" s="12"/>
      <c r="AE60" s="13" t="s">
        <v>1043</v>
      </c>
      <c r="AF60" s="14" t="s">
        <v>1045</v>
      </c>
      <c r="AG60" s="12"/>
      <c r="AH60" s="12"/>
    </row>
    <row r="61" spans="2:34" ht="10.25" customHeight="1" x14ac:dyDescent="0.55000000000000004">
      <c r="B61" s="13" t="s">
        <v>133</v>
      </c>
      <c r="C61" s="13">
        <v>52</v>
      </c>
      <c r="D61" s="13" t="s">
        <v>133</v>
      </c>
      <c r="E61" s="14" t="s">
        <v>383</v>
      </c>
      <c r="F61" s="14" t="s">
        <v>409</v>
      </c>
      <c r="G61" s="14" t="s">
        <v>677</v>
      </c>
      <c r="H61" s="11" t="s">
        <v>190</v>
      </c>
      <c r="I61" s="11" t="s">
        <v>190</v>
      </c>
      <c r="J61" s="11" t="s">
        <v>190</v>
      </c>
      <c r="K61" s="11" t="s">
        <v>190</v>
      </c>
      <c r="L61" s="11" t="s">
        <v>190</v>
      </c>
      <c r="M61" s="149" t="s">
        <v>822</v>
      </c>
      <c r="N61" s="11" t="s">
        <v>190</v>
      </c>
      <c r="O61" s="14" t="s">
        <v>374</v>
      </c>
      <c r="P61" s="14" t="s">
        <v>580</v>
      </c>
      <c r="Q61" s="11" t="s">
        <v>190</v>
      </c>
      <c r="R61" s="11" t="s">
        <v>190</v>
      </c>
      <c r="S61" s="11" t="s">
        <v>190</v>
      </c>
      <c r="T61" s="14" t="s">
        <v>906</v>
      </c>
      <c r="U61" s="14" t="s">
        <v>907</v>
      </c>
      <c r="V61" s="14" t="s">
        <v>1061</v>
      </c>
      <c r="W61" s="11" t="s">
        <v>190</v>
      </c>
      <c r="X61" s="11" t="s">
        <v>190</v>
      </c>
      <c r="Y61" s="11" t="s">
        <v>190</v>
      </c>
      <c r="Z61" s="11" t="s">
        <v>190</v>
      </c>
      <c r="AA61" s="15"/>
      <c r="AB61" s="11" t="s">
        <v>190</v>
      </c>
      <c r="AC61" s="12" t="s">
        <v>1182</v>
      </c>
      <c r="AD61" s="12"/>
      <c r="AE61" s="13" t="s">
        <v>1043</v>
      </c>
      <c r="AF61" s="14" t="s">
        <v>1045</v>
      </c>
      <c r="AG61" s="12"/>
      <c r="AH61" s="12"/>
    </row>
    <row r="62" spans="2:34" ht="10.25" customHeight="1" x14ac:dyDescent="0.55000000000000004">
      <c r="B62" s="13" t="s">
        <v>134</v>
      </c>
      <c r="C62" s="13">
        <v>53</v>
      </c>
      <c r="D62" s="13" t="s">
        <v>134</v>
      </c>
      <c r="E62" s="14" t="s">
        <v>387</v>
      </c>
      <c r="F62" s="14" t="s">
        <v>413</v>
      </c>
      <c r="G62" s="14" t="s">
        <v>679</v>
      </c>
      <c r="H62" s="11" t="s">
        <v>190</v>
      </c>
      <c r="I62" s="11" t="s">
        <v>190</v>
      </c>
      <c r="J62" s="11" t="s">
        <v>190</v>
      </c>
      <c r="K62" s="11" t="s">
        <v>190</v>
      </c>
      <c r="L62" s="11" t="s">
        <v>190</v>
      </c>
      <c r="M62" s="149" t="s">
        <v>823</v>
      </c>
      <c r="N62" s="11" t="s">
        <v>190</v>
      </c>
      <c r="O62" s="14" t="s">
        <v>377</v>
      </c>
      <c r="P62" s="14" t="s">
        <v>581</v>
      </c>
      <c r="Q62" s="11" t="s">
        <v>190</v>
      </c>
      <c r="R62" s="11" t="s">
        <v>190</v>
      </c>
      <c r="S62" s="11" t="s">
        <v>190</v>
      </c>
      <c r="T62" s="14" t="s">
        <v>908</v>
      </c>
      <c r="U62" s="14" t="s">
        <v>909</v>
      </c>
      <c r="V62" s="14" t="s">
        <v>596</v>
      </c>
      <c r="W62" s="11" t="s">
        <v>190</v>
      </c>
      <c r="X62" s="11" t="s">
        <v>190</v>
      </c>
      <c r="Y62" s="11" t="s">
        <v>190</v>
      </c>
      <c r="Z62" s="11" t="s">
        <v>190</v>
      </c>
      <c r="AA62" s="17"/>
      <c r="AB62" s="11" t="s">
        <v>190</v>
      </c>
      <c r="AC62" s="12" t="s">
        <v>1182</v>
      </c>
      <c r="AD62" s="12"/>
      <c r="AE62" s="13" t="s">
        <v>1043</v>
      </c>
      <c r="AF62" s="14" t="s">
        <v>1045</v>
      </c>
      <c r="AG62" s="12"/>
      <c r="AH62" s="12"/>
    </row>
    <row r="63" spans="2:34" ht="10.25" customHeight="1" x14ac:dyDescent="0.55000000000000004">
      <c r="B63" s="13" t="s">
        <v>135</v>
      </c>
      <c r="C63" s="13">
        <v>54</v>
      </c>
      <c r="D63" s="13" t="s">
        <v>135</v>
      </c>
      <c r="E63" s="14" t="s">
        <v>451</v>
      </c>
      <c r="F63" s="14" t="s">
        <v>391</v>
      </c>
      <c r="G63" s="14" t="s">
        <v>681</v>
      </c>
      <c r="H63" s="11" t="s">
        <v>190</v>
      </c>
      <c r="I63" s="11" t="s">
        <v>190</v>
      </c>
      <c r="J63" s="11" t="s">
        <v>190</v>
      </c>
      <c r="K63" s="11" t="s">
        <v>190</v>
      </c>
      <c r="L63" s="151" t="s">
        <v>1107</v>
      </c>
      <c r="M63" s="149" t="s">
        <v>825</v>
      </c>
      <c r="N63" s="11" t="s">
        <v>190</v>
      </c>
      <c r="O63" s="11" t="s">
        <v>190</v>
      </c>
      <c r="P63" s="14" t="s">
        <v>826</v>
      </c>
      <c r="Q63" s="11" t="s">
        <v>190</v>
      </c>
      <c r="R63" s="11" t="s">
        <v>190</v>
      </c>
      <c r="S63" s="11" t="s">
        <v>190</v>
      </c>
      <c r="T63" s="14" t="s">
        <v>910</v>
      </c>
      <c r="U63" s="14" t="s">
        <v>911</v>
      </c>
      <c r="V63" s="14" t="s">
        <v>597</v>
      </c>
      <c r="W63" s="11" t="s">
        <v>190</v>
      </c>
      <c r="X63" s="11" t="s">
        <v>190</v>
      </c>
      <c r="Y63" s="11" t="s">
        <v>190</v>
      </c>
      <c r="Z63" s="11" t="s">
        <v>190</v>
      </c>
      <c r="AA63" s="17"/>
      <c r="AB63" s="11" t="s">
        <v>190</v>
      </c>
      <c r="AC63" s="12" t="s">
        <v>1182</v>
      </c>
      <c r="AD63" s="12"/>
      <c r="AE63" s="13" t="s">
        <v>1043</v>
      </c>
      <c r="AF63" s="14" t="s">
        <v>1045</v>
      </c>
      <c r="AG63" s="12"/>
      <c r="AH63" s="12"/>
    </row>
    <row r="64" spans="2:34" ht="10.25" customHeight="1" x14ac:dyDescent="0.55000000000000004">
      <c r="B64" s="13" t="s">
        <v>136</v>
      </c>
      <c r="C64" s="13">
        <v>55</v>
      </c>
      <c r="D64" s="13" t="s">
        <v>136</v>
      </c>
      <c r="E64" s="14" t="s">
        <v>384</v>
      </c>
      <c r="F64" s="14" t="s">
        <v>452</v>
      </c>
      <c r="G64" s="14" t="s">
        <v>731</v>
      </c>
      <c r="H64" s="11" t="s">
        <v>190</v>
      </c>
      <c r="I64" s="11" t="s">
        <v>190</v>
      </c>
      <c r="J64" s="11" t="s">
        <v>190</v>
      </c>
      <c r="K64" s="11" t="s">
        <v>190</v>
      </c>
      <c r="L64" s="151" t="s">
        <v>827</v>
      </c>
      <c r="M64" s="149" t="s">
        <v>828</v>
      </c>
      <c r="N64" s="11" t="s">
        <v>190</v>
      </c>
      <c r="O64" s="11" t="s">
        <v>190</v>
      </c>
      <c r="P64" s="14" t="s">
        <v>829</v>
      </c>
      <c r="Q64" s="11" t="s">
        <v>190</v>
      </c>
      <c r="R64" s="11" t="s">
        <v>190</v>
      </c>
      <c r="S64" s="11" t="s">
        <v>190</v>
      </c>
      <c r="T64" s="14" t="s">
        <v>912</v>
      </c>
      <c r="U64" s="14" t="s">
        <v>913</v>
      </c>
      <c r="V64" s="14" t="s">
        <v>598</v>
      </c>
      <c r="W64" s="11" t="s">
        <v>190</v>
      </c>
      <c r="X64" s="11" t="s">
        <v>190</v>
      </c>
      <c r="Y64" s="11" t="s">
        <v>190</v>
      </c>
      <c r="Z64" s="11" t="s">
        <v>190</v>
      </c>
      <c r="AA64" s="17"/>
      <c r="AB64" s="11" t="s">
        <v>190</v>
      </c>
      <c r="AC64" s="12" t="s">
        <v>1182</v>
      </c>
      <c r="AD64" s="12"/>
      <c r="AE64" s="13" t="s">
        <v>1043</v>
      </c>
      <c r="AF64" s="14" t="s">
        <v>1045</v>
      </c>
      <c r="AG64" s="12"/>
      <c r="AH64" s="12"/>
    </row>
    <row r="65" spans="2:34" ht="10.25" customHeight="1" x14ac:dyDescent="0.55000000000000004">
      <c r="B65" s="13" t="s">
        <v>137</v>
      </c>
      <c r="C65" s="13">
        <v>56</v>
      </c>
      <c r="D65" s="13" t="s">
        <v>137</v>
      </c>
      <c r="E65" s="14" t="s">
        <v>381</v>
      </c>
      <c r="F65" s="14" t="s">
        <v>388</v>
      </c>
      <c r="G65" s="14" t="s">
        <v>732</v>
      </c>
      <c r="H65" s="11" t="s">
        <v>190</v>
      </c>
      <c r="I65" s="11" t="s">
        <v>190</v>
      </c>
      <c r="J65" s="11" t="s">
        <v>190</v>
      </c>
      <c r="K65" s="11" t="s">
        <v>190</v>
      </c>
      <c r="L65" s="11" t="s">
        <v>190</v>
      </c>
      <c r="M65" s="149" t="s">
        <v>830</v>
      </c>
      <c r="N65" s="11" t="s">
        <v>190</v>
      </c>
      <c r="O65" s="11" t="s">
        <v>190</v>
      </c>
      <c r="P65" s="14" t="s">
        <v>831</v>
      </c>
      <c r="Q65" s="11" t="s">
        <v>190</v>
      </c>
      <c r="R65" s="11" t="s">
        <v>190</v>
      </c>
      <c r="S65" s="11" t="s">
        <v>190</v>
      </c>
      <c r="T65" s="14" t="s">
        <v>920</v>
      </c>
      <c r="U65" s="14" t="s">
        <v>921</v>
      </c>
      <c r="V65" s="14" t="s">
        <v>599</v>
      </c>
      <c r="W65" s="11" t="s">
        <v>190</v>
      </c>
      <c r="X65" s="11" t="s">
        <v>190</v>
      </c>
      <c r="Y65" s="11" t="s">
        <v>190</v>
      </c>
      <c r="Z65" s="11" t="s">
        <v>190</v>
      </c>
      <c r="AA65" s="17"/>
      <c r="AB65" s="11" t="s">
        <v>190</v>
      </c>
      <c r="AC65" s="12" t="s">
        <v>1182</v>
      </c>
      <c r="AD65" s="12"/>
      <c r="AE65" s="13" t="s">
        <v>1043</v>
      </c>
      <c r="AF65" s="14" t="s">
        <v>1045</v>
      </c>
      <c r="AG65" s="12"/>
      <c r="AH65" s="12"/>
    </row>
    <row r="66" spans="2:34" ht="10.25" customHeight="1" x14ac:dyDescent="0.55000000000000004">
      <c r="B66" s="13" t="s">
        <v>139</v>
      </c>
      <c r="C66" s="13">
        <v>57</v>
      </c>
      <c r="D66" s="13" t="s">
        <v>139</v>
      </c>
      <c r="E66" s="14" t="s">
        <v>378</v>
      </c>
      <c r="F66" s="14" t="s">
        <v>385</v>
      </c>
      <c r="G66" s="11" t="s">
        <v>190</v>
      </c>
      <c r="H66" s="11" t="s">
        <v>190</v>
      </c>
      <c r="I66" s="11" t="s">
        <v>190</v>
      </c>
      <c r="J66" s="11" t="s">
        <v>190</v>
      </c>
      <c r="K66" s="11" t="s">
        <v>190</v>
      </c>
      <c r="L66" s="11" t="s">
        <v>190</v>
      </c>
      <c r="M66" s="149" t="s">
        <v>832</v>
      </c>
      <c r="N66" s="11" t="s">
        <v>190</v>
      </c>
      <c r="O66" s="11" t="s">
        <v>190</v>
      </c>
      <c r="P66" s="14" t="s">
        <v>833</v>
      </c>
      <c r="Q66" s="11" t="s">
        <v>190</v>
      </c>
      <c r="R66" s="11" t="s">
        <v>190</v>
      </c>
      <c r="S66" s="11" t="s">
        <v>190</v>
      </c>
      <c r="T66" s="14" t="s">
        <v>922</v>
      </c>
      <c r="U66" s="14" t="s">
        <v>923</v>
      </c>
      <c r="V66" s="11" t="s">
        <v>190</v>
      </c>
      <c r="W66" s="11" t="s">
        <v>190</v>
      </c>
      <c r="X66" s="11" t="s">
        <v>190</v>
      </c>
      <c r="Y66" s="11" t="s">
        <v>190</v>
      </c>
      <c r="Z66" s="11" t="s">
        <v>190</v>
      </c>
      <c r="AA66" s="17"/>
      <c r="AB66" s="11" t="s">
        <v>190</v>
      </c>
      <c r="AC66" s="12" t="s">
        <v>1182</v>
      </c>
      <c r="AD66" s="12"/>
      <c r="AE66" s="13" t="s">
        <v>1043</v>
      </c>
      <c r="AF66" s="14" t="s">
        <v>1045</v>
      </c>
      <c r="AG66" s="12"/>
      <c r="AH66" s="12"/>
    </row>
    <row r="67" spans="2:34" ht="10.25" customHeight="1" x14ac:dyDescent="0.55000000000000004">
      <c r="B67" s="13" t="s">
        <v>1004</v>
      </c>
      <c r="C67" s="13">
        <v>58</v>
      </c>
      <c r="D67" s="14" t="s">
        <v>141</v>
      </c>
      <c r="E67" s="14" t="s">
        <v>375</v>
      </c>
      <c r="F67" s="14" t="s">
        <v>382</v>
      </c>
      <c r="G67" s="11" t="s">
        <v>190</v>
      </c>
      <c r="H67" s="11" t="s">
        <v>190</v>
      </c>
      <c r="I67" s="150" t="s">
        <v>852</v>
      </c>
      <c r="J67" s="151" t="s">
        <v>853</v>
      </c>
      <c r="K67" s="11" t="s">
        <v>190</v>
      </c>
      <c r="L67" s="151" t="s">
        <v>854</v>
      </c>
      <c r="M67" s="149" t="s">
        <v>848</v>
      </c>
      <c r="N67" s="14" t="s">
        <v>530</v>
      </c>
      <c r="O67" s="14" t="s">
        <v>519</v>
      </c>
      <c r="P67" s="14" t="s">
        <v>524</v>
      </c>
      <c r="Q67" s="11" t="s">
        <v>190</v>
      </c>
      <c r="R67" s="11" t="s">
        <v>190</v>
      </c>
      <c r="S67" s="11" t="s">
        <v>190</v>
      </c>
      <c r="T67" s="14" t="s">
        <v>914</v>
      </c>
      <c r="U67" s="14" t="s">
        <v>915</v>
      </c>
      <c r="V67" s="11" t="s">
        <v>190</v>
      </c>
      <c r="W67" s="11" t="s">
        <v>190</v>
      </c>
      <c r="X67" s="11" t="s">
        <v>190</v>
      </c>
      <c r="Y67" s="11" t="s">
        <v>190</v>
      </c>
      <c r="Z67" s="11" t="s">
        <v>190</v>
      </c>
      <c r="AA67" s="15"/>
      <c r="AB67" s="11" t="s">
        <v>190</v>
      </c>
      <c r="AC67" s="12" t="s">
        <v>1182</v>
      </c>
      <c r="AD67" s="12"/>
      <c r="AE67" s="13" t="s">
        <v>1042</v>
      </c>
      <c r="AF67" s="14" t="s">
        <v>1045</v>
      </c>
      <c r="AG67" s="12"/>
      <c r="AH67" s="12"/>
    </row>
    <row r="68" spans="2:34" ht="10.25" customHeight="1" x14ac:dyDescent="0.55000000000000004">
      <c r="B68" s="13" t="s">
        <v>142</v>
      </c>
      <c r="C68" s="13">
        <v>59</v>
      </c>
      <c r="D68" s="14" t="s">
        <v>142</v>
      </c>
      <c r="E68" s="14" t="s">
        <v>386</v>
      </c>
      <c r="F68" s="14" t="s">
        <v>379</v>
      </c>
      <c r="G68" s="11" t="s">
        <v>190</v>
      </c>
      <c r="H68" s="11" t="s">
        <v>190</v>
      </c>
      <c r="I68" s="150" t="s">
        <v>855</v>
      </c>
      <c r="J68" s="151" t="s">
        <v>856</v>
      </c>
      <c r="K68" s="11" t="s">
        <v>190</v>
      </c>
      <c r="L68" s="151" t="s">
        <v>857</v>
      </c>
      <c r="M68" s="11" t="s">
        <v>190</v>
      </c>
      <c r="N68" s="14" t="s">
        <v>525</v>
      </c>
      <c r="O68" s="14" t="s">
        <v>523</v>
      </c>
      <c r="P68" s="14" t="s">
        <v>529</v>
      </c>
      <c r="Q68" s="11" t="s">
        <v>190</v>
      </c>
      <c r="R68" s="11" t="s">
        <v>190</v>
      </c>
      <c r="S68" s="11" t="s">
        <v>190</v>
      </c>
      <c r="T68" s="14" t="s">
        <v>916</v>
      </c>
      <c r="U68" s="14" t="s">
        <v>917</v>
      </c>
      <c r="V68" s="11" t="s">
        <v>190</v>
      </c>
      <c r="W68" s="11" t="s">
        <v>190</v>
      </c>
      <c r="X68" s="11" t="s">
        <v>190</v>
      </c>
      <c r="Y68" s="11" t="s">
        <v>190</v>
      </c>
      <c r="Z68" s="11" t="s">
        <v>190</v>
      </c>
      <c r="AA68" s="15"/>
      <c r="AB68" s="11" t="s">
        <v>190</v>
      </c>
      <c r="AC68" s="12" t="s">
        <v>1182</v>
      </c>
      <c r="AD68" s="12"/>
      <c r="AE68" s="13" t="s">
        <v>1042</v>
      </c>
      <c r="AF68" s="14" t="s">
        <v>1045</v>
      </c>
      <c r="AG68" s="12"/>
      <c r="AH68" s="12"/>
    </row>
    <row r="69" spans="2:34" ht="10.25" customHeight="1" x14ac:dyDescent="0.55000000000000004">
      <c r="B69" s="13" t="s">
        <v>143</v>
      </c>
      <c r="C69" s="13">
        <v>60</v>
      </c>
      <c r="D69" s="14" t="s">
        <v>143</v>
      </c>
      <c r="E69" s="14" t="s">
        <v>389</v>
      </c>
      <c r="F69" s="14" t="s">
        <v>416</v>
      </c>
      <c r="G69" s="11" t="s">
        <v>190</v>
      </c>
      <c r="H69" s="11" t="s">
        <v>190</v>
      </c>
      <c r="I69" s="150" t="s">
        <v>988</v>
      </c>
      <c r="J69" s="151" t="s">
        <v>986</v>
      </c>
      <c r="K69" s="11" t="s">
        <v>190</v>
      </c>
      <c r="L69" s="151" t="s">
        <v>858</v>
      </c>
      <c r="M69" s="11" t="s">
        <v>190</v>
      </c>
      <c r="N69" s="14" t="s">
        <v>520</v>
      </c>
      <c r="O69" s="14" t="s">
        <v>528</v>
      </c>
      <c r="P69" s="11" t="s">
        <v>190</v>
      </c>
      <c r="Q69" s="11" t="s">
        <v>190</v>
      </c>
      <c r="R69" s="11" t="s">
        <v>190</v>
      </c>
      <c r="S69" s="11" t="s">
        <v>190</v>
      </c>
      <c r="T69" s="14" t="s">
        <v>918</v>
      </c>
      <c r="U69" s="14" t="s">
        <v>919</v>
      </c>
      <c r="V69" s="11" t="s">
        <v>190</v>
      </c>
      <c r="W69" s="11" t="s">
        <v>190</v>
      </c>
      <c r="X69" s="11" t="s">
        <v>190</v>
      </c>
      <c r="Y69" s="11" t="s">
        <v>190</v>
      </c>
      <c r="Z69" s="11" t="s">
        <v>190</v>
      </c>
      <c r="AA69" s="15"/>
      <c r="AB69" s="11" t="s">
        <v>190</v>
      </c>
      <c r="AC69" s="12" t="s">
        <v>1182</v>
      </c>
      <c r="AD69" s="12"/>
      <c r="AE69" s="13" t="s">
        <v>1042</v>
      </c>
      <c r="AF69" s="14" t="s">
        <v>1045</v>
      </c>
      <c r="AG69" s="12"/>
      <c r="AH69" s="12"/>
    </row>
    <row r="70" spans="2:34" ht="10.25" customHeight="1" x14ac:dyDescent="0.55000000000000004">
      <c r="B70" s="13" t="s">
        <v>144</v>
      </c>
      <c r="C70" s="13">
        <v>61</v>
      </c>
      <c r="D70" s="14" t="s">
        <v>144</v>
      </c>
      <c r="E70" s="14" t="s">
        <v>372</v>
      </c>
      <c r="F70" s="14" t="s">
        <v>421</v>
      </c>
      <c r="G70" s="14" t="s">
        <v>683</v>
      </c>
      <c r="H70" s="11" t="s">
        <v>190</v>
      </c>
      <c r="I70" s="150" t="s">
        <v>859</v>
      </c>
      <c r="J70" s="151" t="s">
        <v>987</v>
      </c>
      <c r="K70" s="11" t="s">
        <v>190</v>
      </c>
      <c r="L70" s="151" t="s">
        <v>860</v>
      </c>
      <c r="M70" s="11" t="s">
        <v>190</v>
      </c>
      <c r="N70" s="14" t="s">
        <v>534</v>
      </c>
      <c r="O70" s="14" t="s">
        <v>533</v>
      </c>
      <c r="P70" s="11" t="s">
        <v>190</v>
      </c>
      <c r="Q70" s="11" t="s">
        <v>190</v>
      </c>
      <c r="R70" s="11" t="s">
        <v>190</v>
      </c>
      <c r="S70" s="11" t="s">
        <v>190</v>
      </c>
      <c r="T70" s="14" t="s">
        <v>924</v>
      </c>
      <c r="U70" s="14" t="s">
        <v>925</v>
      </c>
      <c r="V70" s="11" t="s">
        <v>190</v>
      </c>
      <c r="W70" s="11" t="s">
        <v>190</v>
      </c>
      <c r="X70" s="11" t="s">
        <v>190</v>
      </c>
      <c r="Y70" s="11" t="s">
        <v>190</v>
      </c>
      <c r="Z70" s="11" t="s">
        <v>190</v>
      </c>
      <c r="AA70" s="17"/>
      <c r="AB70" s="11" t="s">
        <v>190</v>
      </c>
      <c r="AC70" s="12" t="s">
        <v>1182</v>
      </c>
      <c r="AD70" s="12"/>
      <c r="AE70" s="13" t="s">
        <v>1042</v>
      </c>
      <c r="AF70" s="14" t="s">
        <v>1045</v>
      </c>
      <c r="AG70" s="12"/>
      <c r="AH70" s="12"/>
    </row>
    <row r="71" spans="2:34" ht="10.25" customHeight="1" x14ac:dyDescent="0.55000000000000004">
      <c r="B71" s="13" t="s">
        <v>849</v>
      </c>
      <c r="C71" s="13">
        <v>62</v>
      </c>
      <c r="D71" s="14" t="s">
        <v>849</v>
      </c>
      <c r="E71" s="14" t="s">
        <v>466</v>
      </c>
      <c r="F71" s="14" t="s">
        <v>376</v>
      </c>
      <c r="G71" s="14" t="s">
        <v>688</v>
      </c>
      <c r="H71" s="11" t="s">
        <v>190</v>
      </c>
      <c r="I71" s="11" t="s">
        <v>190</v>
      </c>
      <c r="J71" s="11" t="s">
        <v>190</v>
      </c>
      <c r="K71" s="11" t="s">
        <v>190</v>
      </c>
      <c r="L71" s="11" t="s">
        <v>190</v>
      </c>
      <c r="M71" s="11" t="s">
        <v>190</v>
      </c>
      <c r="N71" s="14" t="s">
        <v>536</v>
      </c>
      <c r="O71" s="11" t="s">
        <v>190</v>
      </c>
      <c r="P71" s="11" t="s">
        <v>190</v>
      </c>
      <c r="Q71" s="14" t="s">
        <v>128</v>
      </c>
      <c r="R71" s="11" t="s">
        <v>190</v>
      </c>
      <c r="S71" s="11" t="s">
        <v>190</v>
      </c>
      <c r="T71" s="14" t="s">
        <v>926</v>
      </c>
      <c r="U71" s="14" t="s">
        <v>927</v>
      </c>
      <c r="V71" s="11" t="s">
        <v>190</v>
      </c>
      <c r="W71" s="11" t="s">
        <v>190</v>
      </c>
      <c r="X71" s="11" t="s">
        <v>190</v>
      </c>
      <c r="Y71" s="11" t="s">
        <v>190</v>
      </c>
      <c r="Z71" s="11" t="s">
        <v>190</v>
      </c>
      <c r="AA71" s="17"/>
      <c r="AB71" s="11" t="s">
        <v>190</v>
      </c>
      <c r="AC71" s="12" t="s">
        <v>1182</v>
      </c>
      <c r="AD71" s="12"/>
      <c r="AE71" s="13" t="s">
        <v>1042</v>
      </c>
      <c r="AF71" s="14" t="s">
        <v>1045</v>
      </c>
      <c r="AG71" s="12"/>
      <c r="AH71" s="12"/>
    </row>
    <row r="72" spans="2:34" ht="10.25" customHeight="1" x14ac:dyDescent="0.55000000000000004">
      <c r="B72" s="13" t="s">
        <v>850</v>
      </c>
      <c r="C72" s="13">
        <v>63</v>
      </c>
      <c r="D72" s="14" t="s">
        <v>850</v>
      </c>
      <c r="E72" s="14" t="s">
        <v>472</v>
      </c>
      <c r="F72" s="14" t="s">
        <v>470</v>
      </c>
      <c r="G72" s="11" t="s">
        <v>190</v>
      </c>
      <c r="H72" s="11" t="s">
        <v>190</v>
      </c>
      <c r="I72" s="11" t="s">
        <v>190</v>
      </c>
      <c r="J72" s="11" t="s">
        <v>190</v>
      </c>
      <c r="K72" s="11" t="s">
        <v>190</v>
      </c>
      <c r="L72" s="11" t="s">
        <v>190</v>
      </c>
      <c r="M72" s="149" t="s">
        <v>1159</v>
      </c>
      <c r="N72" s="11" t="s">
        <v>190</v>
      </c>
      <c r="O72" s="11" t="s">
        <v>190</v>
      </c>
      <c r="P72" s="11" t="s">
        <v>190</v>
      </c>
      <c r="Q72" s="14" t="s">
        <v>129</v>
      </c>
      <c r="R72" s="11" t="s">
        <v>190</v>
      </c>
      <c r="S72" s="11" t="s">
        <v>190</v>
      </c>
      <c r="T72" s="14" t="s">
        <v>928</v>
      </c>
      <c r="U72" s="14" t="s">
        <v>929</v>
      </c>
      <c r="V72" s="11" t="s">
        <v>190</v>
      </c>
      <c r="W72" s="11" t="s">
        <v>190</v>
      </c>
      <c r="X72" s="11" t="s">
        <v>190</v>
      </c>
      <c r="Y72" s="11" t="s">
        <v>190</v>
      </c>
      <c r="Z72" s="11" t="s">
        <v>190</v>
      </c>
      <c r="AA72" s="17"/>
      <c r="AB72" s="11" t="s">
        <v>190</v>
      </c>
      <c r="AC72" s="12" t="s">
        <v>1182</v>
      </c>
      <c r="AD72" s="12"/>
      <c r="AE72" s="13" t="s">
        <v>1042</v>
      </c>
      <c r="AF72" s="14" t="s">
        <v>1045</v>
      </c>
      <c r="AG72" s="12"/>
      <c r="AH72" s="12"/>
    </row>
    <row r="73" spans="2:34" ht="10.25" customHeight="1" x14ac:dyDescent="0.55000000000000004">
      <c r="B73" s="13" t="s">
        <v>861</v>
      </c>
      <c r="C73" s="13">
        <v>64</v>
      </c>
      <c r="D73" s="14" t="s">
        <v>861</v>
      </c>
      <c r="E73" s="14" t="s">
        <v>369</v>
      </c>
      <c r="F73" s="14" t="s">
        <v>475</v>
      </c>
      <c r="G73" s="11" t="s">
        <v>190</v>
      </c>
      <c r="H73" s="11" t="s">
        <v>190</v>
      </c>
      <c r="I73" s="11" t="s">
        <v>190</v>
      </c>
      <c r="J73" s="11" t="s">
        <v>190</v>
      </c>
      <c r="K73" s="11" t="s">
        <v>190</v>
      </c>
      <c r="L73" s="11" t="s">
        <v>190</v>
      </c>
      <c r="M73" s="149" t="s">
        <v>862</v>
      </c>
      <c r="N73" s="11" t="s">
        <v>190</v>
      </c>
      <c r="O73" s="11" t="s">
        <v>190</v>
      </c>
      <c r="P73" s="11" t="s">
        <v>190</v>
      </c>
      <c r="Q73" s="14" t="s">
        <v>138</v>
      </c>
      <c r="R73" s="11" t="s">
        <v>190</v>
      </c>
      <c r="S73" s="11" t="s">
        <v>190</v>
      </c>
      <c r="T73" s="14" t="s">
        <v>930</v>
      </c>
      <c r="U73" s="14" t="s">
        <v>931</v>
      </c>
      <c r="V73" s="11" t="s">
        <v>190</v>
      </c>
      <c r="W73" s="11" t="s">
        <v>190</v>
      </c>
      <c r="X73" s="11" t="s">
        <v>190</v>
      </c>
      <c r="Y73" s="11" t="s">
        <v>190</v>
      </c>
      <c r="Z73" s="11" t="s">
        <v>190</v>
      </c>
      <c r="AA73" s="17"/>
      <c r="AB73" s="11" t="s">
        <v>190</v>
      </c>
      <c r="AC73" s="12" t="s">
        <v>1182</v>
      </c>
      <c r="AD73" s="12"/>
      <c r="AE73" s="13" t="s">
        <v>1042</v>
      </c>
      <c r="AF73" s="14" t="s">
        <v>1045</v>
      </c>
      <c r="AG73" s="12"/>
      <c r="AH73" s="12"/>
    </row>
    <row r="74" spans="2:34" ht="10.25" customHeight="1" x14ac:dyDescent="0.55000000000000004">
      <c r="B74" s="13" t="s">
        <v>863</v>
      </c>
      <c r="C74" s="13">
        <v>65</v>
      </c>
      <c r="D74" s="14" t="s">
        <v>863</v>
      </c>
      <c r="E74" s="14" t="s">
        <v>366</v>
      </c>
      <c r="F74" s="14" t="s">
        <v>373</v>
      </c>
      <c r="G74" s="11" t="s">
        <v>190</v>
      </c>
      <c r="H74" s="11" t="s">
        <v>190</v>
      </c>
      <c r="I74" s="11" t="s">
        <v>190</v>
      </c>
      <c r="J74" s="11" t="s">
        <v>190</v>
      </c>
      <c r="K74" s="11" t="s">
        <v>190</v>
      </c>
      <c r="L74" s="11" t="s">
        <v>190</v>
      </c>
      <c r="M74" s="149" t="s">
        <v>864</v>
      </c>
      <c r="N74" s="11" t="s">
        <v>190</v>
      </c>
      <c r="O74" s="11" t="s">
        <v>190</v>
      </c>
      <c r="P74" s="11" t="s">
        <v>190</v>
      </c>
      <c r="Q74" s="14" t="s">
        <v>140</v>
      </c>
      <c r="R74" s="11" t="s">
        <v>190</v>
      </c>
      <c r="S74" s="11" t="s">
        <v>190</v>
      </c>
      <c r="T74" s="14" t="s">
        <v>932</v>
      </c>
      <c r="U74" s="14" t="s">
        <v>933</v>
      </c>
      <c r="V74" s="11" t="s">
        <v>190</v>
      </c>
      <c r="W74" s="11" t="s">
        <v>190</v>
      </c>
      <c r="X74" s="11" t="s">
        <v>190</v>
      </c>
      <c r="Y74" s="11" t="s">
        <v>190</v>
      </c>
      <c r="Z74" s="11" t="s">
        <v>190</v>
      </c>
      <c r="AA74" s="17"/>
      <c r="AB74" s="11" t="s">
        <v>190</v>
      </c>
      <c r="AC74" s="12" t="s">
        <v>1182</v>
      </c>
      <c r="AD74" s="12"/>
      <c r="AE74" s="13" t="s">
        <v>1042</v>
      </c>
      <c r="AF74" s="14" t="s">
        <v>1045</v>
      </c>
      <c r="AG74" s="12"/>
      <c r="AH74" s="12"/>
    </row>
    <row r="75" spans="2:34" ht="10.25" customHeight="1" x14ac:dyDescent="0.55000000000000004">
      <c r="B75" s="16" t="s">
        <v>180</v>
      </c>
      <c r="C75" s="76">
        <v>66</v>
      </c>
      <c r="D75" s="11" t="s">
        <v>190</v>
      </c>
      <c r="E75" s="11" t="s">
        <v>190</v>
      </c>
      <c r="F75" s="11" t="s">
        <v>190</v>
      </c>
      <c r="G75" s="11" t="s">
        <v>190</v>
      </c>
      <c r="H75" s="11" t="s">
        <v>190</v>
      </c>
      <c r="I75" s="11" t="s">
        <v>190</v>
      </c>
      <c r="J75" s="11" t="s">
        <v>190</v>
      </c>
      <c r="K75" s="11" t="s">
        <v>190</v>
      </c>
      <c r="L75" s="11" t="s">
        <v>190</v>
      </c>
      <c r="M75" s="11" t="s">
        <v>190</v>
      </c>
      <c r="N75" s="11" t="s">
        <v>190</v>
      </c>
      <c r="O75" s="11" t="s">
        <v>190</v>
      </c>
      <c r="P75" s="11" t="s">
        <v>190</v>
      </c>
      <c r="Q75" s="11" t="s">
        <v>190</v>
      </c>
      <c r="R75" s="11" t="s">
        <v>190</v>
      </c>
      <c r="S75" s="11" t="s">
        <v>190</v>
      </c>
      <c r="T75" s="11" t="s">
        <v>190</v>
      </c>
      <c r="U75" s="11" t="s">
        <v>190</v>
      </c>
      <c r="V75" s="11" t="s">
        <v>190</v>
      </c>
      <c r="W75" s="11" t="s">
        <v>190</v>
      </c>
      <c r="X75" s="11" t="s">
        <v>190</v>
      </c>
      <c r="Y75" s="11" t="s">
        <v>190</v>
      </c>
      <c r="Z75" s="11" t="s">
        <v>190</v>
      </c>
      <c r="AA75" s="16" t="s">
        <v>180</v>
      </c>
      <c r="AB75" s="11" t="s">
        <v>190</v>
      </c>
      <c r="AC75" s="12"/>
      <c r="AD75" s="12" t="s">
        <v>354</v>
      </c>
      <c r="AE75" s="13" t="s">
        <v>360</v>
      </c>
      <c r="AF75" s="14" t="s">
        <v>360</v>
      </c>
      <c r="AG75" s="12"/>
      <c r="AH75" s="12"/>
    </row>
    <row r="76" spans="2:34" ht="10.25" customHeight="1" x14ac:dyDescent="0.55000000000000004">
      <c r="B76" s="9" t="s">
        <v>179</v>
      </c>
      <c r="C76" s="76">
        <v>67</v>
      </c>
      <c r="D76" s="11" t="s">
        <v>190</v>
      </c>
      <c r="E76" s="11" t="s">
        <v>190</v>
      </c>
      <c r="F76" s="11" t="s">
        <v>190</v>
      </c>
      <c r="G76" s="11" t="s">
        <v>190</v>
      </c>
      <c r="H76" s="11" t="s">
        <v>190</v>
      </c>
      <c r="I76" s="11" t="s">
        <v>190</v>
      </c>
      <c r="J76" s="11" t="s">
        <v>190</v>
      </c>
      <c r="K76" s="11" t="s">
        <v>190</v>
      </c>
      <c r="L76" s="11" t="s">
        <v>190</v>
      </c>
      <c r="M76" s="11" t="s">
        <v>190</v>
      </c>
      <c r="N76" s="11" t="s">
        <v>190</v>
      </c>
      <c r="O76" s="11" t="s">
        <v>190</v>
      </c>
      <c r="P76" s="11" t="s">
        <v>190</v>
      </c>
      <c r="Q76" s="11" t="s">
        <v>190</v>
      </c>
      <c r="R76" s="11" t="s">
        <v>190</v>
      </c>
      <c r="S76" s="11" t="s">
        <v>190</v>
      </c>
      <c r="T76" s="11" t="s">
        <v>190</v>
      </c>
      <c r="U76" s="11" t="s">
        <v>190</v>
      </c>
      <c r="V76" s="11" t="s">
        <v>190</v>
      </c>
      <c r="W76" s="11" t="s">
        <v>190</v>
      </c>
      <c r="X76" s="11" t="s">
        <v>190</v>
      </c>
      <c r="Y76" s="11" t="s">
        <v>190</v>
      </c>
      <c r="Z76" s="11" t="s">
        <v>190</v>
      </c>
      <c r="AA76" s="9" t="s">
        <v>179</v>
      </c>
      <c r="AB76" s="11" t="s">
        <v>190</v>
      </c>
      <c r="AC76" s="12"/>
      <c r="AD76" s="12" t="s">
        <v>355</v>
      </c>
      <c r="AE76" s="13" t="s">
        <v>360</v>
      </c>
      <c r="AF76" s="14" t="s">
        <v>360</v>
      </c>
      <c r="AG76" s="12"/>
      <c r="AH76" s="12"/>
    </row>
    <row r="77" spans="2:34" ht="10.25" customHeight="1" x14ac:dyDescent="0.55000000000000004">
      <c r="B77" s="13" t="s">
        <v>1005</v>
      </c>
      <c r="C77" s="13">
        <v>68</v>
      </c>
      <c r="D77" s="14" t="s">
        <v>145</v>
      </c>
      <c r="E77" s="14" t="s">
        <v>479</v>
      </c>
      <c r="F77" s="14" t="s">
        <v>517</v>
      </c>
      <c r="G77" s="11" t="s">
        <v>190</v>
      </c>
      <c r="H77" s="11" t="s">
        <v>190</v>
      </c>
      <c r="I77" s="11" t="s">
        <v>190</v>
      </c>
      <c r="J77" s="11" t="s">
        <v>190</v>
      </c>
      <c r="K77" s="11" t="s">
        <v>190</v>
      </c>
      <c r="L77" s="151" t="s">
        <v>870</v>
      </c>
      <c r="M77" s="11" t="s">
        <v>190</v>
      </c>
      <c r="N77" s="14" t="s">
        <v>460</v>
      </c>
      <c r="O77" s="14" t="s">
        <v>453</v>
      </c>
      <c r="P77" s="14" t="s">
        <v>456</v>
      </c>
      <c r="Q77" s="11" t="s">
        <v>190</v>
      </c>
      <c r="R77" s="11" t="s">
        <v>190</v>
      </c>
      <c r="S77" s="11" t="s">
        <v>190</v>
      </c>
      <c r="T77" s="14" t="s">
        <v>934</v>
      </c>
      <c r="U77" s="14" t="s">
        <v>935</v>
      </c>
      <c r="V77" s="11" t="s">
        <v>190</v>
      </c>
      <c r="W77" s="11" t="s">
        <v>190</v>
      </c>
      <c r="X77" s="11" t="s">
        <v>190</v>
      </c>
      <c r="Y77" s="11" t="s">
        <v>190</v>
      </c>
      <c r="Z77" s="11" t="s">
        <v>190</v>
      </c>
      <c r="AA77" s="17"/>
      <c r="AB77" s="11" t="s">
        <v>190</v>
      </c>
      <c r="AC77" s="12" t="s">
        <v>1182</v>
      </c>
      <c r="AD77" s="12"/>
      <c r="AE77" s="13" t="s">
        <v>1042</v>
      </c>
      <c r="AF77" s="14" t="s">
        <v>1045</v>
      </c>
      <c r="AG77" s="12"/>
      <c r="AH77" s="12"/>
    </row>
    <row r="78" spans="2:34" ht="10.25" customHeight="1" x14ac:dyDescent="0.55000000000000004">
      <c r="B78" s="13" t="s">
        <v>146</v>
      </c>
      <c r="C78" s="13">
        <v>69</v>
      </c>
      <c r="D78" s="14" t="s">
        <v>146</v>
      </c>
      <c r="E78" s="14" t="s">
        <v>682</v>
      </c>
      <c r="F78" s="14" t="s">
        <v>481</v>
      </c>
      <c r="G78" s="11" t="s">
        <v>190</v>
      </c>
      <c r="H78" s="11" t="s">
        <v>190</v>
      </c>
      <c r="I78" s="11" t="s">
        <v>190</v>
      </c>
      <c r="J78" s="11" t="s">
        <v>190</v>
      </c>
      <c r="K78" s="11" t="s">
        <v>190</v>
      </c>
      <c r="L78" s="151" t="s">
        <v>871</v>
      </c>
      <c r="M78" s="11" t="s">
        <v>190</v>
      </c>
      <c r="N78" s="14" t="s">
        <v>457</v>
      </c>
      <c r="O78" s="14" t="s">
        <v>455</v>
      </c>
      <c r="P78" s="14" t="s">
        <v>459</v>
      </c>
      <c r="Q78" s="11" t="s">
        <v>190</v>
      </c>
      <c r="R78" s="11" t="s">
        <v>190</v>
      </c>
      <c r="S78" s="11" t="s">
        <v>190</v>
      </c>
      <c r="T78" s="14" t="s">
        <v>936</v>
      </c>
      <c r="U78" s="14" t="s">
        <v>937</v>
      </c>
      <c r="V78" s="11" t="s">
        <v>190</v>
      </c>
      <c r="W78" s="11" t="s">
        <v>190</v>
      </c>
      <c r="X78" s="11" t="s">
        <v>190</v>
      </c>
      <c r="Y78" s="11" t="s">
        <v>190</v>
      </c>
      <c r="Z78" s="11" t="s">
        <v>190</v>
      </c>
      <c r="AA78" s="17"/>
      <c r="AB78" s="11" t="s">
        <v>190</v>
      </c>
      <c r="AC78" s="12" t="s">
        <v>1182</v>
      </c>
      <c r="AD78" s="12"/>
      <c r="AE78" s="13" t="s">
        <v>1042</v>
      </c>
      <c r="AF78" s="14" t="s">
        <v>1045</v>
      </c>
      <c r="AG78" s="12"/>
      <c r="AH78" s="12"/>
    </row>
    <row r="79" spans="2:34" ht="10.25" customHeight="1" x14ac:dyDescent="0.55000000000000004">
      <c r="B79" s="13" t="s">
        <v>147</v>
      </c>
      <c r="C79" s="13">
        <v>70</v>
      </c>
      <c r="D79" s="14" t="s">
        <v>147</v>
      </c>
      <c r="E79" s="14" t="s">
        <v>686</v>
      </c>
      <c r="F79" s="14" t="s">
        <v>687</v>
      </c>
      <c r="G79" s="11" t="s">
        <v>190</v>
      </c>
      <c r="H79" s="11" t="s">
        <v>190</v>
      </c>
      <c r="I79" s="11" t="s">
        <v>190</v>
      </c>
      <c r="J79" s="11" t="s">
        <v>190</v>
      </c>
      <c r="K79" s="11" t="s">
        <v>190</v>
      </c>
      <c r="L79" s="151" t="s">
        <v>872</v>
      </c>
      <c r="M79" s="11" t="s">
        <v>190</v>
      </c>
      <c r="N79" s="14" t="s">
        <v>454</v>
      </c>
      <c r="O79" s="14" t="s">
        <v>458</v>
      </c>
      <c r="P79" s="11" t="s">
        <v>190</v>
      </c>
      <c r="Q79" s="11" t="s">
        <v>190</v>
      </c>
      <c r="R79" s="11" t="s">
        <v>190</v>
      </c>
      <c r="S79" s="11" t="s">
        <v>190</v>
      </c>
      <c r="T79" s="14" t="s">
        <v>938</v>
      </c>
      <c r="U79" s="14" t="s">
        <v>939</v>
      </c>
      <c r="V79" s="11" t="s">
        <v>190</v>
      </c>
      <c r="W79" s="11" t="s">
        <v>190</v>
      </c>
      <c r="X79" s="11" t="s">
        <v>190</v>
      </c>
      <c r="Y79" s="11" t="s">
        <v>190</v>
      </c>
      <c r="Z79" s="11" t="s">
        <v>190</v>
      </c>
      <c r="AA79" s="17"/>
      <c r="AB79" s="11" t="s">
        <v>190</v>
      </c>
      <c r="AC79" s="12" t="s">
        <v>1182</v>
      </c>
      <c r="AD79" s="12"/>
      <c r="AE79" s="13" t="s">
        <v>1042</v>
      </c>
      <c r="AF79" s="14" t="s">
        <v>1045</v>
      </c>
      <c r="AG79" s="12"/>
      <c r="AH79" s="12"/>
    </row>
    <row r="80" spans="2:34" ht="10.25" customHeight="1" x14ac:dyDescent="0.55000000000000004">
      <c r="B80" s="13" t="s">
        <v>148</v>
      </c>
      <c r="C80" s="13">
        <v>71</v>
      </c>
      <c r="D80" s="14" t="s">
        <v>148</v>
      </c>
      <c r="E80" s="14" t="s">
        <v>480</v>
      </c>
      <c r="F80" s="14" t="s">
        <v>692</v>
      </c>
      <c r="G80" s="14" t="s">
        <v>693</v>
      </c>
      <c r="H80" s="11" t="s">
        <v>190</v>
      </c>
      <c r="I80" s="11" t="s">
        <v>190</v>
      </c>
      <c r="J80" s="11" t="s">
        <v>190</v>
      </c>
      <c r="K80" s="11" t="s">
        <v>190</v>
      </c>
      <c r="L80" s="151" t="s">
        <v>873</v>
      </c>
      <c r="M80" s="11" t="s">
        <v>190</v>
      </c>
      <c r="N80" s="14" t="s">
        <v>462</v>
      </c>
      <c r="O80" s="14" t="s">
        <v>461</v>
      </c>
      <c r="P80" s="11" t="s">
        <v>190</v>
      </c>
      <c r="Q80" s="11" t="s">
        <v>190</v>
      </c>
      <c r="R80" s="11" t="s">
        <v>190</v>
      </c>
      <c r="S80" s="11" t="s">
        <v>190</v>
      </c>
      <c r="T80" s="14" t="s">
        <v>940</v>
      </c>
      <c r="U80" s="14" t="s">
        <v>941</v>
      </c>
      <c r="V80" s="11" t="s">
        <v>190</v>
      </c>
      <c r="W80" s="11" t="s">
        <v>190</v>
      </c>
      <c r="X80" s="11" t="s">
        <v>190</v>
      </c>
      <c r="Y80" s="11" t="s">
        <v>190</v>
      </c>
      <c r="Z80" s="11" t="s">
        <v>190</v>
      </c>
      <c r="AA80" s="17"/>
      <c r="AB80" s="11" t="s">
        <v>190</v>
      </c>
      <c r="AC80" s="12" t="s">
        <v>1182</v>
      </c>
      <c r="AD80" s="12"/>
      <c r="AE80" s="13" t="s">
        <v>1042</v>
      </c>
      <c r="AF80" s="14" t="s">
        <v>1045</v>
      </c>
      <c r="AG80" s="12"/>
      <c r="AH80" s="12"/>
    </row>
    <row r="81" spans="2:34" ht="10.25" customHeight="1" x14ac:dyDescent="0.55000000000000004">
      <c r="B81" s="13" t="s">
        <v>865</v>
      </c>
      <c r="C81" s="13">
        <v>72</v>
      </c>
      <c r="D81" s="14" t="s">
        <v>865</v>
      </c>
      <c r="E81" s="14" t="s">
        <v>482</v>
      </c>
      <c r="F81" s="14" t="s">
        <v>483</v>
      </c>
      <c r="G81" s="14" t="s">
        <v>698</v>
      </c>
      <c r="H81" s="11" t="s">
        <v>190</v>
      </c>
      <c r="I81" s="11" t="s">
        <v>190</v>
      </c>
      <c r="J81" s="11" t="s">
        <v>190</v>
      </c>
      <c r="K81" s="11" t="s">
        <v>190</v>
      </c>
      <c r="L81" s="151" t="s">
        <v>866</v>
      </c>
      <c r="M81" s="149" t="s">
        <v>867</v>
      </c>
      <c r="N81" s="14" t="s">
        <v>463</v>
      </c>
      <c r="O81" s="11" t="s">
        <v>190</v>
      </c>
      <c r="P81" s="11" t="s">
        <v>190</v>
      </c>
      <c r="Q81" s="11" t="s">
        <v>190</v>
      </c>
      <c r="R81" s="11" t="s">
        <v>190</v>
      </c>
      <c r="S81" s="11" t="s">
        <v>190</v>
      </c>
      <c r="T81" s="14" t="s">
        <v>942</v>
      </c>
      <c r="U81" s="14" t="s">
        <v>943</v>
      </c>
      <c r="V81" s="11" t="s">
        <v>190</v>
      </c>
      <c r="W81" s="11" t="s">
        <v>190</v>
      </c>
      <c r="X81" s="11" t="s">
        <v>190</v>
      </c>
      <c r="Y81" s="11" t="s">
        <v>190</v>
      </c>
      <c r="Z81" s="11" t="s">
        <v>190</v>
      </c>
      <c r="AA81" s="17"/>
      <c r="AB81" s="11" t="s">
        <v>190</v>
      </c>
      <c r="AC81" s="12" t="s">
        <v>1182</v>
      </c>
      <c r="AD81" s="12"/>
      <c r="AE81" s="13" t="s">
        <v>1042</v>
      </c>
      <c r="AF81" s="14" t="s">
        <v>1045</v>
      </c>
      <c r="AG81" s="12"/>
      <c r="AH81" s="12"/>
    </row>
    <row r="82" spans="2:34" ht="10.25" customHeight="1" x14ac:dyDescent="0.55000000000000004">
      <c r="B82" s="13" t="s">
        <v>868</v>
      </c>
      <c r="C82" s="13">
        <v>73</v>
      </c>
      <c r="D82" s="14" t="s">
        <v>868</v>
      </c>
      <c r="E82" s="14" t="s">
        <v>484</v>
      </c>
      <c r="F82" s="14" t="s">
        <v>485</v>
      </c>
      <c r="G82" s="11" t="s">
        <v>190</v>
      </c>
      <c r="H82" s="11" t="s">
        <v>190</v>
      </c>
      <c r="I82" s="11" t="s">
        <v>190</v>
      </c>
      <c r="J82" s="11" t="s">
        <v>190</v>
      </c>
      <c r="K82" s="11" t="s">
        <v>190</v>
      </c>
      <c r="L82" s="11" t="s">
        <v>190</v>
      </c>
      <c r="M82" s="149" t="s">
        <v>869</v>
      </c>
      <c r="N82" s="11" t="s">
        <v>190</v>
      </c>
      <c r="O82" s="11" t="s">
        <v>190</v>
      </c>
      <c r="P82" s="11" t="s">
        <v>190</v>
      </c>
      <c r="Q82" s="11" t="s">
        <v>190</v>
      </c>
      <c r="R82" s="11" t="s">
        <v>190</v>
      </c>
      <c r="S82" s="11" t="s">
        <v>190</v>
      </c>
      <c r="T82" s="14" t="s">
        <v>944</v>
      </c>
      <c r="U82" s="14" t="s">
        <v>945</v>
      </c>
      <c r="V82" s="11" t="s">
        <v>190</v>
      </c>
      <c r="W82" s="11" t="s">
        <v>190</v>
      </c>
      <c r="X82" s="11" t="s">
        <v>190</v>
      </c>
      <c r="Y82" s="11" t="s">
        <v>190</v>
      </c>
      <c r="Z82" s="11" t="s">
        <v>190</v>
      </c>
      <c r="AA82" s="17"/>
      <c r="AB82" s="11" t="s">
        <v>190</v>
      </c>
      <c r="AC82" s="12" t="s">
        <v>1182</v>
      </c>
      <c r="AD82" s="12"/>
      <c r="AE82" s="13" t="s">
        <v>1042</v>
      </c>
      <c r="AF82" s="14" t="s">
        <v>1045</v>
      </c>
      <c r="AG82" s="12"/>
      <c r="AH82" s="12"/>
    </row>
    <row r="83" spans="2:34" ht="10.25" customHeight="1" x14ac:dyDescent="0.55000000000000004">
      <c r="B83" s="13" t="s">
        <v>1006</v>
      </c>
      <c r="C83" s="13">
        <v>74</v>
      </c>
      <c r="D83" s="14" t="s">
        <v>149</v>
      </c>
      <c r="E83" s="14" t="s">
        <v>486</v>
      </c>
      <c r="F83" s="14" t="s">
        <v>367</v>
      </c>
      <c r="G83" s="11" t="s">
        <v>190</v>
      </c>
      <c r="H83" s="11" t="s">
        <v>190</v>
      </c>
      <c r="I83" s="11" t="s">
        <v>190</v>
      </c>
      <c r="J83" s="11" t="s">
        <v>190</v>
      </c>
      <c r="K83" s="11" t="s">
        <v>190</v>
      </c>
      <c r="L83" s="151" t="s">
        <v>1092</v>
      </c>
      <c r="M83" s="11" t="s">
        <v>190</v>
      </c>
      <c r="N83" s="14" t="s">
        <v>447</v>
      </c>
      <c r="O83" s="14" t="s">
        <v>440</v>
      </c>
      <c r="P83" s="14" t="s">
        <v>443</v>
      </c>
      <c r="Q83" s="11" t="s">
        <v>190</v>
      </c>
      <c r="R83" s="11" t="s">
        <v>190</v>
      </c>
      <c r="S83" s="11" t="s">
        <v>190</v>
      </c>
      <c r="T83" s="14" t="s">
        <v>946</v>
      </c>
      <c r="U83" s="14" t="s">
        <v>947</v>
      </c>
      <c r="V83" s="11" t="s">
        <v>190</v>
      </c>
      <c r="W83" s="11" t="s">
        <v>190</v>
      </c>
      <c r="X83" s="11" t="s">
        <v>190</v>
      </c>
      <c r="Y83" s="11" t="s">
        <v>190</v>
      </c>
      <c r="Z83" s="11" t="s">
        <v>190</v>
      </c>
      <c r="AA83" s="17"/>
      <c r="AB83" s="11" t="s">
        <v>190</v>
      </c>
      <c r="AC83" s="12" t="s">
        <v>1182</v>
      </c>
      <c r="AD83" s="12"/>
      <c r="AE83" s="13" t="s">
        <v>1042</v>
      </c>
      <c r="AF83" s="14" t="s">
        <v>1045</v>
      </c>
      <c r="AG83" s="12"/>
      <c r="AH83" s="12"/>
    </row>
    <row r="84" spans="2:34" ht="10.25" customHeight="1" x14ac:dyDescent="0.55000000000000004">
      <c r="B84" s="13" t="s">
        <v>151</v>
      </c>
      <c r="C84" s="13">
        <v>75</v>
      </c>
      <c r="D84" s="14" t="s">
        <v>151</v>
      </c>
      <c r="E84" s="14" t="s">
        <v>487</v>
      </c>
      <c r="F84" s="14" t="s">
        <v>488</v>
      </c>
      <c r="G84" s="14" t="s">
        <v>874</v>
      </c>
      <c r="H84" s="11" t="s">
        <v>190</v>
      </c>
      <c r="I84" s="11" t="s">
        <v>190</v>
      </c>
      <c r="J84" s="11" t="s">
        <v>190</v>
      </c>
      <c r="K84" s="11" t="s">
        <v>190</v>
      </c>
      <c r="L84" s="151" t="s">
        <v>883</v>
      </c>
      <c r="M84" s="11" t="s">
        <v>190</v>
      </c>
      <c r="N84" s="14" t="s">
        <v>444</v>
      </c>
      <c r="O84" s="14" t="s">
        <v>442</v>
      </c>
      <c r="P84" s="14" t="s">
        <v>446</v>
      </c>
      <c r="Q84" s="11" t="s">
        <v>190</v>
      </c>
      <c r="R84" s="11" t="s">
        <v>190</v>
      </c>
      <c r="S84" s="11" t="s">
        <v>190</v>
      </c>
      <c r="T84" s="14" t="s">
        <v>948</v>
      </c>
      <c r="U84" s="14" t="s">
        <v>949</v>
      </c>
      <c r="V84" s="11" t="s">
        <v>190</v>
      </c>
      <c r="W84" s="11" t="s">
        <v>190</v>
      </c>
      <c r="X84" s="11" t="s">
        <v>190</v>
      </c>
      <c r="Y84" s="11" t="s">
        <v>190</v>
      </c>
      <c r="Z84" s="11" t="s">
        <v>190</v>
      </c>
      <c r="AA84" s="17"/>
      <c r="AB84" s="11" t="s">
        <v>190</v>
      </c>
      <c r="AC84" s="12" t="s">
        <v>1182</v>
      </c>
      <c r="AD84" s="12"/>
      <c r="AE84" s="13" t="s">
        <v>1042</v>
      </c>
      <c r="AF84" s="14" t="s">
        <v>1045</v>
      </c>
      <c r="AG84" s="12"/>
      <c r="AH84" s="12"/>
    </row>
    <row r="85" spans="2:34" ht="10.25" customHeight="1" x14ac:dyDescent="0.55000000000000004">
      <c r="B85" s="13" t="s">
        <v>153</v>
      </c>
      <c r="C85" s="74">
        <v>76</v>
      </c>
      <c r="D85" s="14" t="s">
        <v>153</v>
      </c>
      <c r="E85" s="14" t="s">
        <v>489</v>
      </c>
      <c r="F85" s="14" t="s">
        <v>490</v>
      </c>
      <c r="G85" s="14" t="s">
        <v>875</v>
      </c>
      <c r="H85" s="11" t="s">
        <v>190</v>
      </c>
      <c r="I85" s="11" t="s">
        <v>190</v>
      </c>
      <c r="J85" s="11" t="s">
        <v>190</v>
      </c>
      <c r="K85" s="11" t="s">
        <v>190</v>
      </c>
      <c r="L85" s="151" t="s">
        <v>884</v>
      </c>
      <c r="M85" s="11" t="s">
        <v>190</v>
      </c>
      <c r="N85" s="14" t="s">
        <v>441</v>
      </c>
      <c r="O85" s="14" t="s">
        <v>445</v>
      </c>
      <c r="P85" s="11" t="s">
        <v>190</v>
      </c>
      <c r="Q85" s="11" t="s">
        <v>190</v>
      </c>
      <c r="R85" s="11" t="s">
        <v>190</v>
      </c>
      <c r="S85" s="11" t="s">
        <v>190</v>
      </c>
      <c r="T85" s="14" t="s">
        <v>950</v>
      </c>
      <c r="U85" s="14" t="s">
        <v>951</v>
      </c>
      <c r="V85" s="11" t="s">
        <v>190</v>
      </c>
      <c r="W85" s="11" t="s">
        <v>190</v>
      </c>
      <c r="X85" s="11" t="s">
        <v>190</v>
      </c>
      <c r="Y85" s="11" t="s">
        <v>190</v>
      </c>
      <c r="Z85" s="11" t="s">
        <v>190</v>
      </c>
      <c r="AA85" s="17"/>
      <c r="AB85" s="11" t="s">
        <v>190</v>
      </c>
      <c r="AC85" s="12" t="s">
        <v>1182</v>
      </c>
      <c r="AD85" s="12"/>
      <c r="AE85" s="13" t="s">
        <v>1042</v>
      </c>
      <c r="AF85" s="14" t="s">
        <v>1045</v>
      </c>
      <c r="AG85" s="12"/>
      <c r="AH85" s="12"/>
    </row>
    <row r="86" spans="2:34" ht="10.25" customHeight="1" x14ac:dyDescent="0.55000000000000004">
      <c r="B86" s="13" t="s">
        <v>154</v>
      </c>
      <c r="C86" s="74">
        <v>77</v>
      </c>
      <c r="D86" s="14" t="s">
        <v>154</v>
      </c>
      <c r="E86" s="14" t="s">
        <v>491</v>
      </c>
      <c r="F86" s="14" t="s">
        <v>492</v>
      </c>
      <c r="G86" s="14" t="s">
        <v>876</v>
      </c>
      <c r="H86" s="11" t="s">
        <v>190</v>
      </c>
      <c r="I86" s="11" t="s">
        <v>190</v>
      </c>
      <c r="J86" s="11" t="s">
        <v>190</v>
      </c>
      <c r="K86" s="11" t="s">
        <v>190</v>
      </c>
      <c r="L86" s="14" t="s">
        <v>885</v>
      </c>
      <c r="M86" s="11" t="s">
        <v>190</v>
      </c>
      <c r="N86" s="14" t="s">
        <v>449</v>
      </c>
      <c r="O86" s="14" t="s">
        <v>448</v>
      </c>
      <c r="P86" s="11" t="s">
        <v>190</v>
      </c>
      <c r="Q86" s="14" t="s">
        <v>155</v>
      </c>
      <c r="R86" s="11" t="s">
        <v>190</v>
      </c>
      <c r="S86" s="11" t="s">
        <v>190</v>
      </c>
      <c r="T86" s="14" t="s">
        <v>952</v>
      </c>
      <c r="U86" s="14" t="s">
        <v>953</v>
      </c>
      <c r="V86" s="11" t="s">
        <v>190</v>
      </c>
      <c r="W86" s="11" t="s">
        <v>190</v>
      </c>
      <c r="X86" s="11" t="s">
        <v>190</v>
      </c>
      <c r="Y86" s="11" t="s">
        <v>190</v>
      </c>
      <c r="Z86" s="11" t="s">
        <v>190</v>
      </c>
      <c r="AA86" s="17"/>
      <c r="AB86" s="11" t="s">
        <v>190</v>
      </c>
      <c r="AC86" s="12" t="s">
        <v>1182</v>
      </c>
      <c r="AD86" s="12"/>
      <c r="AE86" s="13" t="s">
        <v>1042</v>
      </c>
      <c r="AF86" s="14" t="s">
        <v>1045</v>
      </c>
      <c r="AG86" s="12"/>
      <c r="AH86" s="12"/>
    </row>
    <row r="87" spans="2:34" ht="10.25" customHeight="1" x14ac:dyDescent="0.55000000000000004">
      <c r="B87" s="13" t="s">
        <v>156</v>
      </c>
      <c r="C87" s="74">
        <v>78</v>
      </c>
      <c r="D87" s="14" t="s">
        <v>156</v>
      </c>
      <c r="E87" s="14" t="s">
        <v>493</v>
      </c>
      <c r="F87" s="14" t="s">
        <v>494</v>
      </c>
      <c r="G87" s="14" t="s">
        <v>877</v>
      </c>
      <c r="H87" s="11" t="s">
        <v>190</v>
      </c>
      <c r="I87" s="11" t="s">
        <v>190</v>
      </c>
      <c r="J87" s="11" t="s">
        <v>190</v>
      </c>
      <c r="K87" s="11" t="s">
        <v>190</v>
      </c>
      <c r="L87" s="14" t="s">
        <v>878</v>
      </c>
      <c r="M87" s="14" t="s">
        <v>879</v>
      </c>
      <c r="N87" s="14" t="s">
        <v>450</v>
      </c>
      <c r="O87" s="11" t="s">
        <v>190</v>
      </c>
      <c r="P87" s="11" t="s">
        <v>190</v>
      </c>
      <c r="Q87" s="14" t="s">
        <v>157</v>
      </c>
      <c r="R87" s="11" t="s">
        <v>190</v>
      </c>
      <c r="S87" s="11" t="s">
        <v>190</v>
      </c>
      <c r="T87" s="14" t="s">
        <v>954</v>
      </c>
      <c r="U87" s="14" t="s">
        <v>955</v>
      </c>
      <c r="V87" s="11" t="s">
        <v>190</v>
      </c>
      <c r="W87" s="11" t="s">
        <v>190</v>
      </c>
      <c r="X87" s="11" t="s">
        <v>190</v>
      </c>
      <c r="Y87" s="11" t="s">
        <v>190</v>
      </c>
      <c r="Z87" s="11" t="s">
        <v>190</v>
      </c>
      <c r="AA87" s="17"/>
      <c r="AB87" s="11" t="s">
        <v>190</v>
      </c>
      <c r="AC87" s="12" t="s">
        <v>1182</v>
      </c>
      <c r="AD87" s="12"/>
      <c r="AE87" s="13" t="s">
        <v>1042</v>
      </c>
      <c r="AF87" s="14" t="s">
        <v>1045</v>
      </c>
      <c r="AG87" s="12"/>
      <c r="AH87" s="12"/>
    </row>
    <row r="88" spans="2:34" ht="10.25" customHeight="1" x14ac:dyDescent="0.55000000000000004">
      <c r="B88" s="13" t="s">
        <v>158</v>
      </c>
      <c r="C88" s="74">
        <v>79</v>
      </c>
      <c r="D88" s="14" t="s">
        <v>158</v>
      </c>
      <c r="E88" s="14" t="s">
        <v>495</v>
      </c>
      <c r="F88" s="14" t="s">
        <v>496</v>
      </c>
      <c r="G88" s="14" t="s">
        <v>722</v>
      </c>
      <c r="H88" s="11" t="s">
        <v>190</v>
      </c>
      <c r="I88" s="11" t="s">
        <v>190</v>
      </c>
      <c r="J88" s="11" t="s">
        <v>190</v>
      </c>
      <c r="K88" s="11" t="s">
        <v>190</v>
      </c>
      <c r="L88" s="11" t="s">
        <v>190</v>
      </c>
      <c r="M88" s="14" t="s">
        <v>880</v>
      </c>
      <c r="N88" s="11" t="s">
        <v>190</v>
      </c>
      <c r="O88" s="11" t="s">
        <v>190</v>
      </c>
      <c r="P88" s="11" t="s">
        <v>190</v>
      </c>
      <c r="Q88" s="11" t="s">
        <v>190</v>
      </c>
      <c r="R88" s="11" t="s">
        <v>190</v>
      </c>
      <c r="S88" s="11" t="s">
        <v>190</v>
      </c>
      <c r="T88" s="14" t="s">
        <v>956</v>
      </c>
      <c r="U88" s="14" t="s">
        <v>957</v>
      </c>
      <c r="V88" s="11" t="s">
        <v>190</v>
      </c>
      <c r="W88" s="11" t="s">
        <v>190</v>
      </c>
      <c r="X88" s="11" t="s">
        <v>190</v>
      </c>
      <c r="Y88" s="11" t="s">
        <v>190</v>
      </c>
      <c r="Z88" s="11" t="s">
        <v>190</v>
      </c>
      <c r="AA88" s="17"/>
      <c r="AB88" s="11" t="s">
        <v>190</v>
      </c>
      <c r="AC88" s="12" t="s">
        <v>1182</v>
      </c>
      <c r="AD88" s="12"/>
      <c r="AE88" s="13" t="s">
        <v>1042</v>
      </c>
      <c r="AF88" s="14" t="s">
        <v>1045</v>
      </c>
      <c r="AG88" s="12"/>
      <c r="AH88" s="12"/>
    </row>
    <row r="89" spans="2:34" ht="10.25" customHeight="1" x14ac:dyDescent="0.55000000000000004">
      <c r="B89" s="13" t="s">
        <v>159</v>
      </c>
      <c r="C89" s="75">
        <v>80</v>
      </c>
      <c r="D89" s="14" t="s">
        <v>159</v>
      </c>
      <c r="E89" s="14" t="s">
        <v>499</v>
      </c>
      <c r="F89" s="14" t="s">
        <v>500</v>
      </c>
      <c r="G89" s="11" t="s">
        <v>190</v>
      </c>
      <c r="H89" s="11" t="s">
        <v>190</v>
      </c>
      <c r="I89" s="11" t="s">
        <v>190</v>
      </c>
      <c r="J89" s="11" t="s">
        <v>190</v>
      </c>
      <c r="K89" s="11" t="s">
        <v>190</v>
      </c>
      <c r="L89" s="11" t="s">
        <v>190</v>
      </c>
      <c r="M89" s="14" t="s">
        <v>881</v>
      </c>
      <c r="N89" s="11" t="s">
        <v>190</v>
      </c>
      <c r="O89" s="11" t="s">
        <v>190</v>
      </c>
      <c r="P89" s="11" t="s">
        <v>190</v>
      </c>
      <c r="Q89" s="11" t="s">
        <v>190</v>
      </c>
      <c r="R89" s="11" t="s">
        <v>190</v>
      </c>
      <c r="S89" s="11" t="s">
        <v>190</v>
      </c>
      <c r="T89" s="14" t="s">
        <v>958</v>
      </c>
      <c r="U89" s="14" t="s">
        <v>959</v>
      </c>
      <c r="V89" s="11" t="s">
        <v>190</v>
      </c>
      <c r="W89" s="11" t="s">
        <v>190</v>
      </c>
      <c r="X89" s="11" t="s">
        <v>190</v>
      </c>
      <c r="Y89" s="11" t="s">
        <v>190</v>
      </c>
      <c r="Z89" s="11" t="s">
        <v>190</v>
      </c>
      <c r="AA89" s="17"/>
      <c r="AB89" s="11" t="s">
        <v>190</v>
      </c>
      <c r="AC89" s="12" t="s">
        <v>1182</v>
      </c>
      <c r="AD89" s="12"/>
      <c r="AE89" s="13" t="s">
        <v>1042</v>
      </c>
      <c r="AF89" s="14" t="s">
        <v>1045</v>
      </c>
      <c r="AG89" s="12"/>
      <c r="AH89" s="12"/>
    </row>
    <row r="90" spans="2:34" ht="10.25" customHeight="1" x14ac:dyDescent="0.55000000000000004">
      <c r="B90" s="13" t="s">
        <v>160</v>
      </c>
      <c r="C90" s="13">
        <v>81</v>
      </c>
      <c r="D90" s="14" t="s">
        <v>160</v>
      </c>
      <c r="E90" s="14" t="s">
        <v>504</v>
      </c>
      <c r="F90" s="14" t="s">
        <v>505</v>
      </c>
      <c r="G90" s="11" t="s">
        <v>190</v>
      </c>
      <c r="H90" s="11" t="s">
        <v>190</v>
      </c>
      <c r="I90" s="11" t="s">
        <v>190</v>
      </c>
      <c r="J90" s="11" t="s">
        <v>190</v>
      </c>
      <c r="K90" s="11" t="s">
        <v>190</v>
      </c>
      <c r="L90" s="11" t="s">
        <v>190</v>
      </c>
      <c r="M90" s="14" t="s">
        <v>882</v>
      </c>
      <c r="N90" s="11" t="s">
        <v>190</v>
      </c>
      <c r="O90" s="11" t="s">
        <v>190</v>
      </c>
      <c r="P90" s="11" t="s">
        <v>190</v>
      </c>
      <c r="Q90" s="11" t="s">
        <v>190</v>
      </c>
      <c r="R90" s="11" t="s">
        <v>190</v>
      </c>
      <c r="S90" s="11" t="s">
        <v>190</v>
      </c>
      <c r="T90" s="14" t="s">
        <v>960</v>
      </c>
      <c r="U90" s="14" t="s">
        <v>961</v>
      </c>
      <c r="V90" s="11" t="s">
        <v>190</v>
      </c>
      <c r="W90" s="11" t="s">
        <v>190</v>
      </c>
      <c r="X90" s="11" t="s">
        <v>190</v>
      </c>
      <c r="Y90" s="11" t="s">
        <v>190</v>
      </c>
      <c r="Z90" s="11" t="s">
        <v>190</v>
      </c>
      <c r="AA90" s="17"/>
      <c r="AB90" s="11" t="s">
        <v>190</v>
      </c>
      <c r="AC90" s="12" t="s">
        <v>1182</v>
      </c>
      <c r="AD90" s="12"/>
      <c r="AE90" s="13" t="s">
        <v>1042</v>
      </c>
      <c r="AF90" s="14" t="s">
        <v>1045</v>
      </c>
      <c r="AG90" s="12"/>
      <c r="AH90" s="12"/>
    </row>
    <row r="91" spans="2:34" ht="10.25" customHeight="1" x14ac:dyDescent="0.55000000000000004">
      <c r="B91" s="13" t="s">
        <v>1007</v>
      </c>
      <c r="C91" s="13">
        <v>82</v>
      </c>
      <c r="D91" s="14" t="s">
        <v>161</v>
      </c>
      <c r="E91" s="14" t="s">
        <v>509</v>
      </c>
      <c r="F91" s="14" t="s">
        <v>510</v>
      </c>
      <c r="G91" s="11" t="s">
        <v>190</v>
      </c>
      <c r="H91" s="11" t="s">
        <v>190</v>
      </c>
      <c r="I91" s="11" t="s">
        <v>190</v>
      </c>
      <c r="J91" s="11" t="s">
        <v>190</v>
      </c>
      <c r="K91" s="151" t="s">
        <v>25</v>
      </c>
      <c r="L91" s="11" t="s">
        <v>190</v>
      </c>
      <c r="M91" s="11" t="s">
        <v>190</v>
      </c>
      <c r="N91" s="14" t="s">
        <v>429</v>
      </c>
      <c r="O91" s="14" t="s">
        <v>417</v>
      </c>
      <c r="P91" s="14" t="s">
        <v>423</v>
      </c>
      <c r="Q91" s="11" t="s">
        <v>190</v>
      </c>
      <c r="R91" s="11" t="s">
        <v>190</v>
      </c>
      <c r="S91" s="11" t="s">
        <v>190</v>
      </c>
      <c r="T91" s="14" t="s">
        <v>962</v>
      </c>
      <c r="U91" s="14" t="s">
        <v>963</v>
      </c>
      <c r="V91" s="11" t="s">
        <v>190</v>
      </c>
      <c r="W91" s="11" t="s">
        <v>190</v>
      </c>
      <c r="X91" s="11" t="s">
        <v>190</v>
      </c>
      <c r="Y91" s="11" t="s">
        <v>190</v>
      </c>
      <c r="Z91" s="11" t="s">
        <v>190</v>
      </c>
      <c r="AA91" s="17"/>
      <c r="AB91" s="11" t="s">
        <v>190</v>
      </c>
      <c r="AC91" s="12" t="s">
        <v>1182</v>
      </c>
      <c r="AD91" s="12"/>
      <c r="AE91" s="13" t="s">
        <v>1042</v>
      </c>
      <c r="AF91" s="14" t="s">
        <v>1045</v>
      </c>
      <c r="AG91" s="12"/>
      <c r="AH91" s="12"/>
    </row>
    <row r="92" spans="2:34" ht="10.25" customHeight="1" x14ac:dyDescent="0.55000000000000004">
      <c r="B92" s="13" t="s">
        <v>162</v>
      </c>
      <c r="C92" s="13">
        <v>83</v>
      </c>
      <c r="D92" s="14" t="s">
        <v>162</v>
      </c>
      <c r="E92" s="14" t="s">
        <v>513</v>
      </c>
      <c r="F92" s="14" t="s">
        <v>514</v>
      </c>
      <c r="G92" s="11" t="s">
        <v>190</v>
      </c>
      <c r="H92" s="11" t="s">
        <v>190</v>
      </c>
      <c r="I92" s="11" t="s">
        <v>190</v>
      </c>
      <c r="J92" s="11" t="s">
        <v>190</v>
      </c>
      <c r="K92" s="151" t="s">
        <v>27</v>
      </c>
      <c r="L92" s="11" t="s">
        <v>190</v>
      </c>
      <c r="M92" s="11" t="s">
        <v>190</v>
      </c>
      <c r="N92" s="14" t="s">
        <v>424</v>
      </c>
      <c r="O92" s="14" t="s">
        <v>422</v>
      </c>
      <c r="P92" s="14" t="s">
        <v>428</v>
      </c>
      <c r="Q92" s="11" t="s">
        <v>190</v>
      </c>
      <c r="R92" s="11" t="s">
        <v>190</v>
      </c>
      <c r="S92" s="11" t="s">
        <v>190</v>
      </c>
      <c r="T92" s="14" t="s">
        <v>964</v>
      </c>
      <c r="U92" s="14" t="s">
        <v>965</v>
      </c>
      <c r="V92" s="11" t="s">
        <v>190</v>
      </c>
      <c r="W92" s="11" t="s">
        <v>190</v>
      </c>
      <c r="X92" s="11" t="s">
        <v>190</v>
      </c>
      <c r="Y92" s="11" t="s">
        <v>190</v>
      </c>
      <c r="Z92" s="11" t="s">
        <v>190</v>
      </c>
      <c r="AA92" s="17"/>
      <c r="AB92" s="11" t="s">
        <v>190</v>
      </c>
      <c r="AC92" s="12" t="s">
        <v>1182</v>
      </c>
      <c r="AD92" s="12"/>
      <c r="AE92" s="13" t="s">
        <v>1042</v>
      </c>
      <c r="AF92" s="14" t="s">
        <v>1045</v>
      </c>
      <c r="AG92" s="12"/>
      <c r="AH92" s="12"/>
    </row>
    <row r="93" spans="2:34" ht="10.25" customHeight="1" x14ac:dyDescent="0.55000000000000004">
      <c r="B93" s="13" t="s">
        <v>163</v>
      </c>
      <c r="C93" s="13">
        <v>84</v>
      </c>
      <c r="D93" s="14" t="s">
        <v>163</v>
      </c>
      <c r="E93" s="14" t="s">
        <v>515</v>
      </c>
      <c r="F93" s="14" t="s">
        <v>516</v>
      </c>
      <c r="G93" s="11" t="s">
        <v>190</v>
      </c>
      <c r="H93" s="11" t="s">
        <v>190</v>
      </c>
      <c r="I93" s="150" t="s">
        <v>22</v>
      </c>
      <c r="J93" s="151" t="s">
        <v>526</v>
      </c>
      <c r="K93" s="151" t="s">
        <v>36</v>
      </c>
      <c r="L93" s="11" t="s">
        <v>190</v>
      </c>
      <c r="M93" s="11" t="s">
        <v>190</v>
      </c>
      <c r="N93" s="14" t="s">
        <v>418</v>
      </c>
      <c r="O93" s="14" t="s">
        <v>427</v>
      </c>
      <c r="P93" s="11" t="s">
        <v>190</v>
      </c>
      <c r="Q93" s="11" t="s">
        <v>190</v>
      </c>
      <c r="R93" s="11" t="s">
        <v>190</v>
      </c>
      <c r="S93" s="11" t="s">
        <v>190</v>
      </c>
      <c r="T93" s="14" t="s">
        <v>936</v>
      </c>
      <c r="U93" s="14" t="s">
        <v>937</v>
      </c>
      <c r="V93" s="11" t="s">
        <v>190</v>
      </c>
      <c r="W93" s="11" t="s">
        <v>190</v>
      </c>
      <c r="X93" s="11" t="s">
        <v>190</v>
      </c>
      <c r="Y93" s="11" t="s">
        <v>190</v>
      </c>
      <c r="Z93" s="11" t="s">
        <v>190</v>
      </c>
      <c r="AA93" s="17"/>
      <c r="AB93" s="11" t="s">
        <v>190</v>
      </c>
      <c r="AC93" s="12" t="s">
        <v>1182</v>
      </c>
      <c r="AD93" s="12"/>
      <c r="AE93" s="13" t="s">
        <v>1042</v>
      </c>
      <c r="AF93" s="14" t="s">
        <v>1045</v>
      </c>
      <c r="AG93" s="12"/>
      <c r="AH93" s="12"/>
    </row>
    <row r="94" spans="2:34" ht="10.25" customHeight="1" x14ac:dyDescent="0.55000000000000004">
      <c r="B94" s="13" t="s">
        <v>164</v>
      </c>
      <c r="C94" s="13">
        <v>85</v>
      </c>
      <c r="D94" s="14" t="s">
        <v>164</v>
      </c>
      <c r="E94" s="14" t="s">
        <v>378</v>
      </c>
      <c r="F94" s="14" t="s">
        <v>488</v>
      </c>
      <c r="G94" s="14" t="s">
        <v>874</v>
      </c>
      <c r="H94" s="11" t="s">
        <v>190</v>
      </c>
      <c r="I94" s="150" t="s">
        <v>20</v>
      </c>
      <c r="J94" s="151" t="s">
        <v>521</v>
      </c>
      <c r="K94" s="151" t="s">
        <v>40</v>
      </c>
      <c r="L94" s="11" t="s">
        <v>190</v>
      </c>
      <c r="M94" s="11" t="s">
        <v>190</v>
      </c>
      <c r="N94" s="14" t="s">
        <v>433</v>
      </c>
      <c r="O94" s="14" t="s">
        <v>432</v>
      </c>
      <c r="P94" s="11" t="s">
        <v>190</v>
      </c>
      <c r="Q94" s="11" t="s">
        <v>190</v>
      </c>
      <c r="R94" s="11" t="s">
        <v>190</v>
      </c>
      <c r="S94" s="11" t="s">
        <v>190</v>
      </c>
      <c r="T94" s="14" t="s">
        <v>938</v>
      </c>
      <c r="U94" s="14" t="s">
        <v>939</v>
      </c>
      <c r="V94" s="11" t="s">
        <v>190</v>
      </c>
      <c r="W94" s="11" t="s">
        <v>190</v>
      </c>
      <c r="X94" s="11" t="s">
        <v>190</v>
      </c>
      <c r="Y94" s="11" t="s">
        <v>190</v>
      </c>
      <c r="Z94" s="150" t="s">
        <v>967</v>
      </c>
      <c r="AA94" s="17"/>
      <c r="AB94" s="11" t="s">
        <v>190</v>
      </c>
      <c r="AC94" s="12" t="s">
        <v>1182</v>
      </c>
      <c r="AD94" s="12"/>
      <c r="AE94" s="13" t="s">
        <v>1042</v>
      </c>
      <c r="AF94" s="14" t="s">
        <v>1045</v>
      </c>
      <c r="AG94" s="12"/>
      <c r="AH94" s="12"/>
    </row>
    <row r="95" spans="2:34" ht="10.25" customHeight="1" x14ac:dyDescent="0.55000000000000004">
      <c r="B95" s="13" t="s">
        <v>165</v>
      </c>
      <c r="C95" s="13">
        <v>86</v>
      </c>
      <c r="D95" s="14" t="s">
        <v>165</v>
      </c>
      <c r="E95" s="14" t="s">
        <v>375</v>
      </c>
      <c r="F95" s="14" t="s">
        <v>382</v>
      </c>
      <c r="G95" s="14" t="s">
        <v>875</v>
      </c>
      <c r="H95" s="11" t="s">
        <v>190</v>
      </c>
      <c r="I95" s="150" t="s">
        <v>24</v>
      </c>
      <c r="J95" s="151" t="s">
        <v>531</v>
      </c>
      <c r="K95" s="11" t="s">
        <v>190</v>
      </c>
      <c r="L95" s="11" t="s">
        <v>190</v>
      </c>
      <c r="M95" s="11" t="s">
        <v>190</v>
      </c>
      <c r="N95" s="14" t="s">
        <v>436</v>
      </c>
      <c r="O95" s="11" t="s">
        <v>190</v>
      </c>
      <c r="P95" s="11" t="s">
        <v>190</v>
      </c>
      <c r="Q95" s="14" t="s">
        <v>172</v>
      </c>
      <c r="R95" s="11" t="s">
        <v>190</v>
      </c>
      <c r="S95" s="11" t="s">
        <v>190</v>
      </c>
      <c r="T95" s="14" t="s">
        <v>940</v>
      </c>
      <c r="U95" s="14" t="s">
        <v>941</v>
      </c>
      <c r="V95" s="11" t="s">
        <v>190</v>
      </c>
      <c r="W95" s="11" t="s">
        <v>190</v>
      </c>
      <c r="X95" s="11" t="s">
        <v>190</v>
      </c>
      <c r="Y95" s="11" t="s">
        <v>190</v>
      </c>
      <c r="Z95" s="11" t="s">
        <v>190</v>
      </c>
      <c r="AA95" s="17"/>
      <c r="AB95" s="11" t="s">
        <v>190</v>
      </c>
      <c r="AC95" s="12" t="s">
        <v>1182</v>
      </c>
      <c r="AD95" s="12"/>
      <c r="AE95" s="13" t="s">
        <v>1042</v>
      </c>
      <c r="AF95" s="14" t="s">
        <v>1045</v>
      </c>
      <c r="AG95" s="12"/>
      <c r="AH95" s="12"/>
    </row>
    <row r="96" spans="2:34" ht="10.25" customHeight="1" x14ac:dyDescent="0.55000000000000004">
      <c r="B96" s="13" t="s">
        <v>166</v>
      </c>
      <c r="C96" s="13">
        <v>87</v>
      </c>
      <c r="D96" s="14" t="s">
        <v>166</v>
      </c>
      <c r="E96" s="14" t="s">
        <v>372</v>
      </c>
      <c r="F96" s="14" t="s">
        <v>379</v>
      </c>
      <c r="G96" s="11" t="s">
        <v>190</v>
      </c>
      <c r="H96" s="11" t="s">
        <v>190</v>
      </c>
      <c r="I96" s="11" t="s">
        <v>190</v>
      </c>
      <c r="J96" s="11" t="s">
        <v>190</v>
      </c>
      <c r="K96" s="11" t="s">
        <v>190</v>
      </c>
      <c r="L96" s="11" t="s">
        <v>190</v>
      </c>
      <c r="M96" s="11" t="s">
        <v>190</v>
      </c>
      <c r="N96" s="11" t="s">
        <v>190</v>
      </c>
      <c r="O96" s="11" t="s">
        <v>190</v>
      </c>
      <c r="P96" s="11" t="s">
        <v>190</v>
      </c>
      <c r="Q96" s="14" t="s">
        <v>979</v>
      </c>
      <c r="R96" s="11" t="s">
        <v>190</v>
      </c>
      <c r="S96" s="11" t="s">
        <v>190</v>
      </c>
      <c r="T96" s="14" t="s">
        <v>942</v>
      </c>
      <c r="U96" s="14" t="s">
        <v>943</v>
      </c>
      <c r="V96" s="11" t="s">
        <v>190</v>
      </c>
      <c r="W96" s="11" t="s">
        <v>190</v>
      </c>
      <c r="X96" s="11" t="s">
        <v>190</v>
      </c>
      <c r="Y96" s="11" t="s">
        <v>190</v>
      </c>
      <c r="Z96" s="11" t="s">
        <v>190</v>
      </c>
      <c r="AA96" s="17"/>
      <c r="AB96" s="11" t="s">
        <v>190</v>
      </c>
      <c r="AC96" s="12"/>
      <c r="AD96" s="12"/>
      <c r="AE96" s="13" t="s">
        <v>1042</v>
      </c>
      <c r="AF96" s="14" t="s">
        <v>1045</v>
      </c>
      <c r="AG96" s="12"/>
      <c r="AH96" s="12"/>
    </row>
    <row r="97" spans="2:34" ht="10.25" customHeight="1" x14ac:dyDescent="0.55000000000000004">
      <c r="B97" s="16" t="s">
        <v>180</v>
      </c>
      <c r="C97" s="10">
        <v>88</v>
      </c>
      <c r="D97" s="11" t="s">
        <v>190</v>
      </c>
      <c r="E97" s="11" t="s">
        <v>190</v>
      </c>
      <c r="F97" s="11" t="s">
        <v>190</v>
      </c>
      <c r="G97" s="11" t="s">
        <v>190</v>
      </c>
      <c r="H97" s="11" t="s">
        <v>190</v>
      </c>
      <c r="I97" s="11" t="s">
        <v>190</v>
      </c>
      <c r="J97" s="11" t="s">
        <v>190</v>
      </c>
      <c r="K97" s="11" t="s">
        <v>190</v>
      </c>
      <c r="L97" s="11" t="s">
        <v>190</v>
      </c>
      <c r="M97" s="11" t="s">
        <v>190</v>
      </c>
      <c r="N97" s="11" t="s">
        <v>190</v>
      </c>
      <c r="O97" s="11" t="s">
        <v>190</v>
      </c>
      <c r="P97" s="11" t="s">
        <v>190</v>
      </c>
      <c r="Q97" s="11" t="s">
        <v>190</v>
      </c>
      <c r="R97" s="11" t="s">
        <v>190</v>
      </c>
      <c r="S97" s="11" t="s">
        <v>190</v>
      </c>
      <c r="T97" s="11" t="s">
        <v>190</v>
      </c>
      <c r="U97" s="11" t="s">
        <v>190</v>
      </c>
      <c r="V97" s="11" t="s">
        <v>190</v>
      </c>
      <c r="W97" s="11" t="s">
        <v>190</v>
      </c>
      <c r="X97" s="11" t="s">
        <v>190</v>
      </c>
      <c r="Y97" s="11" t="s">
        <v>190</v>
      </c>
      <c r="Z97" s="11" t="s">
        <v>190</v>
      </c>
      <c r="AA97" s="16" t="s">
        <v>180</v>
      </c>
      <c r="AB97" s="11" t="s">
        <v>190</v>
      </c>
      <c r="AC97" s="12"/>
      <c r="AD97" s="12" t="s">
        <v>354</v>
      </c>
      <c r="AE97" s="13" t="s">
        <v>360</v>
      </c>
      <c r="AF97" s="14" t="s">
        <v>360</v>
      </c>
      <c r="AG97" s="12"/>
      <c r="AH97" s="12"/>
    </row>
    <row r="98" spans="2:34" ht="10.25" customHeight="1" x14ac:dyDescent="0.55000000000000004">
      <c r="B98" s="9" t="s">
        <v>179</v>
      </c>
      <c r="C98" s="10">
        <v>89</v>
      </c>
      <c r="D98" s="11" t="s">
        <v>190</v>
      </c>
      <c r="E98" s="11" t="s">
        <v>190</v>
      </c>
      <c r="F98" s="11" t="s">
        <v>190</v>
      </c>
      <c r="G98" s="11" t="s">
        <v>190</v>
      </c>
      <c r="H98" s="11" t="s">
        <v>190</v>
      </c>
      <c r="I98" s="11" t="s">
        <v>190</v>
      </c>
      <c r="J98" s="11" t="s">
        <v>190</v>
      </c>
      <c r="K98" s="11" t="s">
        <v>190</v>
      </c>
      <c r="L98" s="11" t="s">
        <v>190</v>
      </c>
      <c r="M98" s="11" t="s">
        <v>190</v>
      </c>
      <c r="N98" s="11" t="s">
        <v>190</v>
      </c>
      <c r="O98" s="11" t="s">
        <v>190</v>
      </c>
      <c r="P98" s="11" t="s">
        <v>190</v>
      </c>
      <c r="Q98" s="11" t="s">
        <v>190</v>
      </c>
      <c r="R98" s="11" t="s">
        <v>190</v>
      </c>
      <c r="S98" s="11" t="s">
        <v>190</v>
      </c>
      <c r="T98" s="11" t="s">
        <v>190</v>
      </c>
      <c r="U98" s="11" t="s">
        <v>190</v>
      </c>
      <c r="V98" s="11" t="s">
        <v>190</v>
      </c>
      <c r="W98" s="11" t="s">
        <v>190</v>
      </c>
      <c r="X98" s="11" t="s">
        <v>190</v>
      </c>
      <c r="Y98" s="11" t="s">
        <v>190</v>
      </c>
      <c r="Z98" s="11" t="s">
        <v>190</v>
      </c>
      <c r="AA98" s="9" t="s">
        <v>179</v>
      </c>
      <c r="AB98" s="11" t="s">
        <v>190</v>
      </c>
      <c r="AC98" s="12"/>
      <c r="AD98" s="12" t="s">
        <v>355</v>
      </c>
      <c r="AE98" s="13" t="s">
        <v>360</v>
      </c>
      <c r="AF98" s="14" t="s">
        <v>360</v>
      </c>
      <c r="AG98" s="12"/>
      <c r="AH98" s="12"/>
    </row>
    <row r="99" spans="2:34" ht="10.25" customHeight="1" x14ac:dyDescent="0.55000000000000004">
      <c r="B99" s="13" t="s">
        <v>1008</v>
      </c>
      <c r="C99" s="13">
        <v>90</v>
      </c>
      <c r="D99" s="14" t="s">
        <v>167</v>
      </c>
      <c r="E99" s="14" t="s">
        <v>466</v>
      </c>
      <c r="F99" s="14" t="s">
        <v>376</v>
      </c>
      <c r="G99" s="14" t="s">
        <v>876</v>
      </c>
      <c r="H99" s="11" t="s">
        <v>190</v>
      </c>
      <c r="I99" s="11" t="s">
        <v>190</v>
      </c>
      <c r="J99" s="11" t="s">
        <v>190</v>
      </c>
      <c r="K99" s="11" t="s">
        <v>190</v>
      </c>
      <c r="L99" s="11" t="s">
        <v>190</v>
      </c>
      <c r="M99" s="11" t="s">
        <v>190</v>
      </c>
      <c r="N99" s="11" t="s">
        <v>190</v>
      </c>
      <c r="O99" s="11" t="s">
        <v>190</v>
      </c>
      <c r="P99" s="11" t="s">
        <v>190</v>
      </c>
      <c r="Q99" s="14" t="s">
        <v>176</v>
      </c>
      <c r="R99" s="11" t="s">
        <v>190</v>
      </c>
      <c r="S99" s="11" t="s">
        <v>190</v>
      </c>
      <c r="T99" s="11" t="s">
        <v>190</v>
      </c>
      <c r="U99" s="11" t="s">
        <v>190</v>
      </c>
      <c r="V99" s="11" t="s">
        <v>190</v>
      </c>
      <c r="W99" s="11" t="s">
        <v>190</v>
      </c>
      <c r="X99" s="11" t="s">
        <v>190</v>
      </c>
      <c r="Y99" s="11" t="s">
        <v>190</v>
      </c>
      <c r="Z99" s="11" t="s">
        <v>190</v>
      </c>
      <c r="AA99" s="17"/>
      <c r="AB99" s="11" t="s">
        <v>190</v>
      </c>
      <c r="AC99" s="12"/>
      <c r="AD99" s="12"/>
      <c r="AE99" s="13" t="s">
        <v>1042</v>
      </c>
      <c r="AF99" s="14" t="s">
        <v>1045</v>
      </c>
      <c r="AG99" s="12"/>
      <c r="AH99" s="12"/>
    </row>
    <row r="100" spans="2:34" ht="10.25" customHeight="1" x14ac:dyDescent="0.55000000000000004">
      <c r="B100" s="13" t="s">
        <v>168</v>
      </c>
      <c r="C100" s="13">
        <v>91</v>
      </c>
      <c r="D100" s="14" t="s">
        <v>168</v>
      </c>
      <c r="E100" s="14" t="s">
        <v>472</v>
      </c>
      <c r="F100" s="14" t="s">
        <v>470</v>
      </c>
      <c r="G100" s="14" t="s">
        <v>877</v>
      </c>
      <c r="H100" s="11" t="s">
        <v>190</v>
      </c>
      <c r="I100" s="11" t="s">
        <v>190</v>
      </c>
      <c r="J100" s="11" t="s">
        <v>190</v>
      </c>
      <c r="K100" s="11" t="s">
        <v>190</v>
      </c>
      <c r="L100" s="11" t="s">
        <v>190</v>
      </c>
      <c r="M100" s="11" t="s">
        <v>190</v>
      </c>
      <c r="N100" s="11" t="s">
        <v>190</v>
      </c>
      <c r="O100" s="11" t="s">
        <v>190</v>
      </c>
      <c r="P100" s="11" t="s">
        <v>190</v>
      </c>
      <c r="Q100" s="14" t="s">
        <v>177</v>
      </c>
      <c r="R100" s="11" t="s">
        <v>190</v>
      </c>
      <c r="S100" s="11" t="s">
        <v>190</v>
      </c>
      <c r="T100" s="14" t="s">
        <v>948</v>
      </c>
      <c r="U100" s="14" t="s">
        <v>949</v>
      </c>
      <c r="V100" s="11" t="s">
        <v>190</v>
      </c>
      <c r="W100" s="11" t="s">
        <v>190</v>
      </c>
      <c r="X100" s="11" t="s">
        <v>190</v>
      </c>
      <c r="Y100" s="11" t="s">
        <v>190</v>
      </c>
      <c r="Z100" s="11" t="s">
        <v>190</v>
      </c>
      <c r="AA100" s="15"/>
      <c r="AB100" s="11" t="s">
        <v>190</v>
      </c>
      <c r="AC100" s="12"/>
      <c r="AD100" s="12"/>
      <c r="AE100" s="13" t="s">
        <v>1042</v>
      </c>
      <c r="AF100" s="14" t="s">
        <v>1045</v>
      </c>
      <c r="AG100" s="12"/>
      <c r="AH100" s="12"/>
    </row>
    <row r="101" spans="2:34" ht="10.25" customHeight="1" x14ac:dyDescent="0.55000000000000004">
      <c r="B101" s="13" t="s">
        <v>1009</v>
      </c>
      <c r="C101" s="13">
        <v>92</v>
      </c>
      <c r="D101" s="14" t="s">
        <v>169</v>
      </c>
      <c r="E101" s="14" t="s">
        <v>369</v>
      </c>
      <c r="F101" s="14" t="s">
        <v>475</v>
      </c>
      <c r="G101" s="11" t="s">
        <v>190</v>
      </c>
      <c r="H101" s="11" t="s">
        <v>190</v>
      </c>
      <c r="I101" s="150" t="s">
        <v>39</v>
      </c>
      <c r="J101" s="151" t="s">
        <v>468</v>
      </c>
      <c r="K101" s="151" t="s">
        <v>150</v>
      </c>
      <c r="L101" s="11" t="s">
        <v>190</v>
      </c>
      <c r="M101" s="11" t="s">
        <v>190</v>
      </c>
      <c r="N101" s="14" t="s">
        <v>589</v>
      </c>
      <c r="O101" s="14" t="s">
        <v>582</v>
      </c>
      <c r="P101" s="14" t="s">
        <v>585</v>
      </c>
      <c r="Q101" s="11" t="s">
        <v>190</v>
      </c>
      <c r="R101" s="11" t="s">
        <v>190</v>
      </c>
      <c r="S101" s="14" t="s">
        <v>1117</v>
      </c>
      <c r="T101" s="14" t="s">
        <v>944</v>
      </c>
      <c r="U101" s="14" t="s">
        <v>945</v>
      </c>
      <c r="V101" s="11" t="s">
        <v>190</v>
      </c>
      <c r="W101" s="11" t="s">
        <v>190</v>
      </c>
      <c r="X101" s="11" t="s">
        <v>190</v>
      </c>
      <c r="Y101" s="11" t="s">
        <v>190</v>
      </c>
      <c r="Z101" s="11" t="s">
        <v>190</v>
      </c>
      <c r="AA101" s="17"/>
      <c r="AB101" s="11" t="s">
        <v>190</v>
      </c>
      <c r="AC101" s="12" t="s">
        <v>1182</v>
      </c>
      <c r="AD101" s="12"/>
      <c r="AE101" s="13" t="s">
        <v>1042</v>
      </c>
      <c r="AF101" s="14" t="s">
        <v>1045</v>
      </c>
      <c r="AG101" s="12"/>
      <c r="AH101" s="12"/>
    </row>
    <row r="102" spans="2:34" ht="10.25" customHeight="1" x14ac:dyDescent="0.55000000000000004">
      <c r="B102" s="13" t="s">
        <v>170</v>
      </c>
      <c r="C102" s="13">
        <v>93</v>
      </c>
      <c r="D102" s="14" t="s">
        <v>170</v>
      </c>
      <c r="E102" s="14" t="s">
        <v>366</v>
      </c>
      <c r="F102" s="14" t="s">
        <v>373</v>
      </c>
      <c r="G102" s="11" t="s">
        <v>190</v>
      </c>
      <c r="H102" s="11" t="s">
        <v>190</v>
      </c>
      <c r="I102" s="150" t="s">
        <v>35</v>
      </c>
      <c r="J102" s="151" t="s">
        <v>465</v>
      </c>
      <c r="K102" s="151" t="s">
        <v>152</v>
      </c>
      <c r="L102" s="11" t="s">
        <v>190</v>
      </c>
      <c r="M102" s="11" t="s">
        <v>190</v>
      </c>
      <c r="N102" s="14" t="s">
        <v>586</v>
      </c>
      <c r="O102" s="14" t="s">
        <v>584</v>
      </c>
      <c r="P102" s="14" t="s">
        <v>588</v>
      </c>
      <c r="Q102" s="11" t="s">
        <v>190</v>
      </c>
      <c r="R102" s="11" t="s">
        <v>190</v>
      </c>
      <c r="S102" s="14" t="s">
        <v>1118</v>
      </c>
      <c r="T102" s="14" t="s">
        <v>950</v>
      </c>
      <c r="U102" s="14" t="s">
        <v>951</v>
      </c>
      <c r="V102" s="11" t="s">
        <v>190</v>
      </c>
      <c r="W102" s="11" t="s">
        <v>190</v>
      </c>
      <c r="X102" s="11" t="s">
        <v>190</v>
      </c>
      <c r="Y102" s="11" t="s">
        <v>190</v>
      </c>
      <c r="Z102" s="11" t="s">
        <v>190</v>
      </c>
      <c r="AA102" s="17"/>
      <c r="AB102" s="11" t="s">
        <v>190</v>
      </c>
      <c r="AC102" s="12" t="s">
        <v>1182</v>
      </c>
      <c r="AD102" s="12"/>
      <c r="AE102" s="13" t="s">
        <v>1042</v>
      </c>
      <c r="AF102" s="14" t="s">
        <v>1045</v>
      </c>
      <c r="AG102" s="12"/>
      <c r="AH102" s="12"/>
    </row>
    <row r="103" spans="2:34" ht="10.25" customHeight="1" x14ac:dyDescent="0.55000000000000004">
      <c r="B103" s="13" t="s">
        <v>171</v>
      </c>
      <c r="C103" s="13">
        <v>94</v>
      </c>
      <c r="D103" s="14" t="s">
        <v>171</v>
      </c>
      <c r="E103" s="14" t="s">
        <v>479</v>
      </c>
      <c r="F103" s="14" t="s">
        <v>370</v>
      </c>
      <c r="G103" s="14" t="s">
        <v>733</v>
      </c>
      <c r="H103" s="11" t="s">
        <v>190</v>
      </c>
      <c r="I103" s="150" t="s">
        <v>43</v>
      </c>
      <c r="J103" s="151" t="s">
        <v>471</v>
      </c>
      <c r="K103" s="151" t="s">
        <v>130</v>
      </c>
      <c r="L103" s="11" t="s">
        <v>190</v>
      </c>
      <c r="M103" s="11" t="s">
        <v>190</v>
      </c>
      <c r="N103" s="14" t="s">
        <v>583</v>
      </c>
      <c r="O103" s="14" t="s">
        <v>587</v>
      </c>
      <c r="P103" s="11" t="s">
        <v>190</v>
      </c>
      <c r="Q103" s="11" t="s">
        <v>190</v>
      </c>
      <c r="R103" s="11" t="s">
        <v>190</v>
      </c>
      <c r="S103" s="14" t="s">
        <v>1119</v>
      </c>
      <c r="T103" s="14" t="s">
        <v>952</v>
      </c>
      <c r="U103" s="14" t="s">
        <v>953</v>
      </c>
      <c r="V103" s="11" t="s">
        <v>190</v>
      </c>
      <c r="W103" s="11" t="s">
        <v>190</v>
      </c>
      <c r="X103" s="11" t="s">
        <v>190</v>
      </c>
      <c r="Y103" s="11" t="s">
        <v>190</v>
      </c>
      <c r="Z103" s="11" t="s">
        <v>190</v>
      </c>
      <c r="AA103" s="17"/>
      <c r="AB103" s="11" t="s">
        <v>190</v>
      </c>
      <c r="AC103" s="12" t="s">
        <v>1182</v>
      </c>
      <c r="AD103" s="12"/>
      <c r="AE103" s="13" t="s">
        <v>1042</v>
      </c>
      <c r="AF103" s="14" t="s">
        <v>1045</v>
      </c>
      <c r="AG103" s="12"/>
      <c r="AH103" s="12"/>
    </row>
    <row r="104" spans="2:34" ht="10.25" customHeight="1" x14ac:dyDescent="0.55000000000000004">
      <c r="B104" s="13" t="s">
        <v>173</v>
      </c>
      <c r="C104" s="13">
        <v>95</v>
      </c>
      <c r="D104" s="14" t="s">
        <v>173</v>
      </c>
      <c r="E104" s="14" t="s">
        <v>480</v>
      </c>
      <c r="F104" s="14" t="s">
        <v>481</v>
      </c>
      <c r="G104" s="14" t="s">
        <v>716</v>
      </c>
      <c r="H104" s="11" t="s">
        <v>190</v>
      </c>
      <c r="I104" s="11" t="s">
        <v>190</v>
      </c>
      <c r="J104" s="11" t="s">
        <v>190</v>
      </c>
      <c r="K104" s="151" t="s">
        <v>132</v>
      </c>
      <c r="L104" s="11" t="s">
        <v>190</v>
      </c>
      <c r="M104" s="11" t="s">
        <v>190</v>
      </c>
      <c r="N104" s="14" t="s">
        <v>591</v>
      </c>
      <c r="O104" s="14" t="s">
        <v>590</v>
      </c>
      <c r="P104" s="11" t="s">
        <v>190</v>
      </c>
      <c r="Q104" s="11" t="s">
        <v>190</v>
      </c>
      <c r="R104" s="11" t="s">
        <v>190</v>
      </c>
      <c r="S104" s="14" t="s">
        <v>1120</v>
      </c>
      <c r="T104" s="14" t="s">
        <v>958</v>
      </c>
      <c r="U104" s="14" t="s">
        <v>959</v>
      </c>
      <c r="V104" s="11" t="s">
        <v>190</v>
      </c>
      <c r="W104" s="11" t="s">
        <v>190</v>
      </c>
      <c r="X104" s="11" t="s">
        <v>190</v>
      </c>
      <c r="Y104" s="11" t="s">
        <v>190</v>
      </c>
      <c r="Z104" s="11" t="s">
        <v>190</v>
      </c>
      <c r="AA104" s="17"/>
      <c r="AB104" s="11" t="s">
        <v>190</v>
      </c>
      <c r="AC104" s="12" t="s">
        <v>1182</v>
      </c>
      <c r="AD104" s="12"/>
      <c r="AE104" s="13" t="s">
        <v>1042</v>
      </c>
      <c r="AF104" s="14" t="s">
        <v>1045</v>
      </c>
      <c r="AG104" s="12"/>
      <c r="AH104" s="12"/>
    </row>
    <row r="105" spans="2:34" ht="10.25" customHeight="1" x14ac:dyDescent="0.55000000000000004">
      <c r="B105" s="13" t="s">
        <v>174</v>
      </c>
      <c r="C105" s="13">
        <v>96</v>
      </c>
      <c r="D105" s="14" t="s">
        <v>174</v>
      </c>
      <c r="E105" s="14" t="s">
        <v>482</v>
      </c>
      <c r="F105" s="14" t="s">
        <v>483</v>
      </c>
      <c r="G105" s="14" t="s">
        <v>719</v>
      </c>
      <c r="H105" s="11" t="s">
        <v>190</v>
      </c>
      <c r="I105" s="11" t="s">
        <v>190</v>
      </c>
      <c r="J105" s="11" t="s">
        <v>190</v>
      </c>
      <c r="K105" s="11" t="s">
        <v>190</v>
      </c>
      <c r="L105" s="11" t="s">
        <v>190</v>
      </c>
      <c r="M105" s="11" t="s">
        <v>190</v>
      </c>
      <c r="N105" s="14" t="s">
        <v>592</v>
      </c>
      <c r="O105" s="11" t="s">
        <v>190</v>
      </c>
      <c r="P105" s="11" t="s">
        <v>190</v>
      </c>
      <c r="Q105" s="11" t="s">
        <v>190</v>
      </c>
      <c r="R105" s="11" t="s">
        <v>190</v>
      </c>
      <c r="S105" s="11" t="s">
        <v>190</v>
      </c>
      <c r="T105" s="14" t="s">
        <v>960</v>
      </c>
      <c r="U105" s="14" t="s">
        <v>961</v>
      </c>
      <c r="V105" s="11" t="s">
        <v>190</v>
      </c>
      <c r="W105" s="11" t="s">
        <v>190</v>
      </c>
      <c r="X105" s="11" t="s">
        <v>190</v>
      </c>
      <c r="Y105" s="11" t="s">
        <v>190</v>
      </c>
      <c r="Z105" s="11" t="s">
        <v>190</v>
      </c>
      <c r="AA105" s="17"/>
      <c r="AB105" s="11" t="s">
        <v>190</v>
      </c>
      <c r="AC105" s="12" t="s">
        <v>1182</v>
      </c>
      <c r="AD105" s="12"/>
      <c r="AE105" s="13" t="s">
        <v>1042</v>
      </c>
      <c r="AF105" s="14" t="s">
        <v>1045</v>
      </c>
      <c r="AG105" s="12"/>
      <c r="AH105" s="12"/>
    </row>
    <row r="106" spans="2:34" ht="10.25" customHeight="1" x14ac:dyDescent="0.55000000000000004">
      <c r="B106" s="13" t="s">
        <v>886</v>
      </c>
      <c r="C106" s="13">
        <v>97</v>
      </c>
      <c r="D106" s="14" t="s">
        <v>886</v>
      </c>
      <c r="E106" s="14" t="s">
        <v>484</v>
      </c>
      <c r="F106" s="14" t="s">
        <v>485</v>
      </c>
      <c r="G106" s="11" t="s">
        <v>190</v>
      </c>
      <c r="H106" s="11" t="s">
        <v>190</v>
      </c>
      <c r="I106" s="11" t="s">
        <v>190</v>
      </c>
      <c r="J106" s="11" t="s">
        <v>190</v>
      </c>
      <c r="K106" s="11" t="s">
        <v>190</v>
      </c>
      <c r="L106" s="11" t="s">
        <v>190</v>
      </c>
      <c r="M106" s="11" t="s">
        <v>190</v>
      </c>
      <c r="N106" s="11" t="s">
        <v>190</v>
      </c>
      <c r="O106" s="11" t="s">
        <v>190</v>
      </c>
      <c r="P106" s="11" t="s">
        <v>190</v>
      </c>
      <c r="Q106" s="11" t="s">
        <v>190</v>
      </c>
      <c r="R106" s="11" t="s">
        <v>190</v>
      </c>
      <c r="S106" s="11" t="s">
        <v>190</v>
      </c>
      <c r="T106" s="14" t="s">
        <v>954</v>
      </c>
      <c r="U106" s="14" t="s">
        <v>955</v>
      </c>
      <c r="V106" s="11" t="s">
        <v>190</v>
      </c>
      <c r="W106" s="11" t="s">
        <v>190</v>
      </c>
      <c r="X106" s="11" t="s">
        <v>190</v>
      </c>
      <c r="Y106" s="11" t="s">
        <v>190</v>
      </c>
      <c r="Z106" s="11" t="s">
        <v>190</v>
      </c>
      <c r="AA106" s="17"/>
      <c r="AB106" s="11" t="s">
        <v>190</v>
      </c>
      <c r="AC106" s="12"/>
      <c r="AD106" s="12"/>
      <c r="AE106" s="13" t="s">
        <v>1042</v>
      </c>
      <c r="AF106" s="14" t="s">
        <v>1045</v>
      </c>
      <c r="AG106" s="12"/>
      <c r="AH106" s="12"/>
    </row>
    <row r="107" spans="2:34" ht="10.25" customHeight="1" x14ac:dyDescent="0.55000000000000004">
      <c r="B107" s="13" t="s">
        <v>887</v>
      </c>
      <c r="C107" s="13">
        <v>98</v>
      </c>
      <c r="D107" s="14" t="s">
        <v>887</v>
      </c>
      <c r="E107" s="14" t="s">
        <v>486</v>
      </c>
      <c r="F107" s="14" t="s">
        <v>367</v>
      </c>
      <c r="G107" s="11" t="s">
        <v>190</v>
      </c>
      <c r="H107" s="11" t="s">
        <v>190</v>
      </c>
      <c r="I107" s="11" t="s">
        <v>190</v>
      </c>
      <c r="J107" s="11" t="s">
        <v>190</v>
      </c>
      <c r="K107" s="11" t="s">
        <v>190</v>
      </c>
      <c r="L107" s="11" t="s">
        <v>190</v>
      </c>
      <c r="M107" s="11" t="s">
        <v>190</v>
      </c>
      <c r="N107" s="11" t="s">
        <v>190</v>
      </c>
      <c r="O107" s="11" t="s">
        <v>190</v>
      </c>
      <c r="P107" s="11" t="s">
        <v>190</v>
      </c>
      <c r="Q107" s="11" t="s">
        <v>190</v>
      </c>
      <c r="R107" s="11" t="s">
        <v>190</v>
      </c>
      <c r="S107" s="11" t="s">
        <v>190</v>
      </c>
      <c r="T107" s="14" t="s">
        <v>956</v>
      </c>
      <c r="U107" s="14" t="s">
        <v>957</v>
      </c>
      <c r="V107" s="11" t="s">
        <v>190</v>
      </c>
      <c r="W107" s="11" t="s">
        <v>190</v>
      </c>
      <c r="X107" s="11" t="s">
        <v>190</v>
      </c>
      <c r="Y107" s="11" t="s">
        <v>190</v>
      </c>
      <c r="Z107" s="11" t="s">
        <v>190</v>
      </c>
      <c r="AA107" s="17"/>
      <c r="AB107" s="11" t="s">
        <v>190</v>
      </c>
      <c r="AC107" s="12"/>
      <c r="AD107" s="12"/>
      <c r="AE107" s="13" t="s">
        <v>1042</v>
      </c>
      <c r="AF107" s="14" t="s">
        <v>1045</v>
      </c>
      <c r="AG107" s="12"/>
      <c r="AH107" s="12"/>
    </row>
    <row r="108" spans="2:34" ht="10.25" customHeight="1" x14ac:dyDescent="0.55000000000000004">
      <c r="B108" s="9" t="s">
        <v>179</v>
      </c>
      <c r="C108" s="76">
        <v>99</v>
      </c>
      <c r="D108" s="11" t="s">
        <v>190</v>
      </c>
      <c r="E108" s="11" t="s">
        <v>190</v>
      </c>
      <c r="F108" s="11" t="s">
        <v>190</v>
      </c>
      <c r="G108" s="11" t="s">
        <v>190</v>
      </c>
      <c r="H108" s="11" t="s">
        <v>190</v>
      </c>
      <c r="I108" s="11" t="s">
        <v>190</v>
      </c>
      <c r="J108" s="11" t="s">
        <v>190</v>
      </c>
      <c r="K108" s="11" t="s">
        <v>190</v>
      </c>
      <c r="L108" s="11" t="s">
        <v>190</v>
      </c>
      <c r="M108" s="11" t="s">
        <v>190</v>
      </c>
      <c r="N108" s="11" t="s">
        <v>190</v>
      </c>
      <c r="O108" s="11" t="s">
        <v>190</v>
      </c>
      <c r="P108" s="11" t="s">
        <v>190</v>
      </c>
      <c r="Q108" s="11" t="s">
        <v>190</v>
      </c>
      <c r="R108" s="11" t="s">
        <v>190</v>
      </c>
      <c r="S108" s="11" t="s">
        <v>190</v>
      </c>
      <c r="T108" s="11" t="s">
        <v>190</v>
      </c>
      <c r="U108" s="11" t="s">
        <v>190</v>
      </c>
      <c r="V108" s="11" t="s">
        <v>190</v>
      </c>
      <c r="W108" s="11" t="s">
        <v>190</v>
      </c>
      <c r="X108" s="11" t="s">
        <v>190</v>
      </c>
      <c r="Y108" s="11" t="s">
        <v>190</v>
      </c>
      <c r="Z108" s="11" t="s">
        <v>190</v>
      </c>
      <c r="AA108" s="9" t="s">
        <v>179</v>
      </c>
      <c r="AB108" s="11" t="s">
        <v>190</v>
      </c>
      <c r="AC108" s="12"/>
      <c r="AD108" s="12" t="s">
        <v>355</v>
      </c>
      <c r="AE108" s="13" t="s">
        <v>360</v>
      </c>
      <c r="AF108" s="14" t="s">
        <v>360</v>
      </c>
      <c r="AG108" s="12"/>
      <c r="AH108" s="12"/>
    </row>
    <row r="109" spans="2:34" ht="10.25" customHeight="1" x14ac:dyDescent="0.55000000000000004">
      <c r="B109" s="13" t="s">
        <v>1010</v>
      </c>
      <c r="C109" s="13">
        <v>100</v>
      </c>
      <c r="D109" s="14" t="s">
        <v>19</v>
      </c>
      <c r="E109" s="11" t="s">
        <v>190</v>
      </c>
      <c r="F109" s="11" t="s">
        <v>190</v>
      </c>
      <c r="G109" s="11" t="s">
        <v>190</v>
      </c>
      <c r="H109" s="11" t="s">
        <v>190</v>
      </c>
      <c r="I109" s="11" t="s">
        <v>190</v>
      </c>
      <c r="J109" s="11" t="s">
        <v>190</v>
      </c>
      <c r="K109" s="11" t="s">
        <v>190</v>
      </c>
      <c r="L109" s="11" t="s">
        <v>190</v>
      </c>
      <c r="M109" s="11" t="s">
        <v>190</v>
      </c>
      <c r="N109" s="11" t="s">
        <v>190</v>
      </c>
      <c r="O109" s="11" t="s">
        <v>190</v>
      </c>
      <c r="P109" s="11" t="s">
        <v>190</v>
      </c>
      <c r="Q109" s="11" t="s">
        <v>190</v>
      </c>
      <c r="R109" s="11" t="s">
        <v>190</v>
      </c>
      <c r="S109" s="11" t="s">
        <v>190</v>
      </c>
      <c r="T109" s="11" t="s">
        <v>190</v>
      </c>
      <c r="U109" s="11" t="s">
        <v>190</v>
      </c>
      <c r="V109" s="11" t="s">
        <v>190</v>
      </c>
      <c r="W109" s="11" t="s">
        <v>190</v>
      </c>
      <c r="X109" s="11" t="s">
        <v>190</v>
      </c>
      <c r="Y109" s="154" t="s">
        <v>1111</v>
      </c>
      <c r="Z109" s="155" t="s">
        <v>1109</v>
      </c>
      <c r="AA109" s="17"/>
      <c r="AB109" s="11" t="s">
        <v>190</v>
      </c>
      <c r="AC109" s="12"/>
      <c r="AD109" s="12"/>
      <c r="AE109" s="156" t="s">
        <v>189</v>
      </c>
      <c r="AF109" s="14" t="s">
        <v>1045</v>
      </c>
      <c r="AG109" s="12"/>
      <c r="AH109" s="12"/>
    </row>
    <row r="110" spans="2:34" ht="10.25" customHeight="1" x14ac:dyDescent="0.55000000000000004">
      <c r="B110" s="13" t="s">
        <v>21</v>
      </c>
      <c r="C110" s="13">
        <v>101</v>
      </c>
      <c r="D110" s="14" t="s">
        <v>21</v>
      </c>
      <c r="E110" s="11" t="s">
        <v>190</v>
      </c>
      <c r="F110" s="11" t="s">
        <v>190</v>
      </c>
      <c r="G110" s="11" t="s">
        <v>190</v>
      </c>
      <c r="H110" s="11" t="s">
        <v>190</v>
      </c>
      <c r="I110" s="11" t="s">
        <v>190</v>
      </c>
      <c r="J110" s="11" t="s">
        <v>190</v>
      </c>
      <c r="K110" s="11" t="s">
        <v>190</v>
      </c>
      <c r="L110" s="11" t="s">
        <v>190</v>
      </c>
      <c r="M110" s="11" t="s">
        <v>190</v>
      </c>
      <c r="N110" s="11" t="s">
        <v>190</v>
      </c>
      <c r="O110" s="11" t="s">
        <v>190</v>
      </c>
      <c r="P110" s="11" t="s">
        <v>190</v>
      </c>
      <c r="Q110" s="11" t="s">
        <v>190</v>
      </c>
      <c r="R110" s="11" t="s">
        <v>190</v>
      </c>
      <c r="S110" s="11" t="s">
        <v>190</v>
      </c>
      <c r="T110" s="11" t="s">
        <v>190</v>
      </c>
      <c r="U110" s="11" t="s">
        <v>190</v>
      </c>
      <c r="V110" s="11" t="s">
        <v>190</v>
      </c>
      <c r="W110" s="11" t="s">
        <v>190</v>
      </c>
      <c r="X110" s="11" t="s">
        <v>190</v>
      </c>
      <c r="Y110" s="154" t="s">
        <v>1112</v>
      </c>
      <c r="Z110" s="155" t="s">
        <v>1110</v>
      </c>
      <c r="AA110" s="17"/>
      <c r="AB110" s="11" t="s">
        <v>190</v>
      </c>
      <c r="AC110" s="12"/>
      <c r="AD110" s="12"/>
      <c r="AE110" s="156" t="s">
        <v>189</v>
      </c>
      <c r="AF110" s="14" t="s">
        <v>1045</v>
      </c>
      <c r="AG110" s="12"/>
      <c r="AH110" s="12"/>
    </row>
    <row r="111" spans="2:34" ht="10.25" customHeight="1" x14ac:dyDescent="0.55000000000000004">
      <c r="B111" s="13" t="s">
        <v>23</v>
      </c>
      <c r="C111" s="13">
        <v>102</v>
      </c>
      <c r="D111" s="14" t="s">
        <v>23</v>
      </c>
      <c r="E111" s="11" t="s">
        <v>190</v>
      </c>
      <c r="F111" s="11" t="s">
        <v>190</v>
      </c>
      <c r="G111" s="11" t="s">
        <v>190</v>
      </c>
      <c r="H111" s="11" t="s">
        <v>190</v>
      </c>
      <c r="I111" s="11" t="s">
        <v>190</v>
      </c>
      <c r="J111" s="11" t="s">
        <v>190</v>
      </c>
      <c r="K111" s="11" t="s">
        <v>190</v>
      </c>
      <c r="L111" s="11" t="s">
        <v>190</v>
      </c>
      <c r="M111" s="11" t="s">
        <v>190</v>
      </c>
      <c r="N111" s="11" t="s">
        <v>190</v>
      </c>
      <c r="O111" s="11" t="s">
        <v>190</v>
      </c>
      <c r="P111" s="11" t="s">
        <v>190</v>
      </c>
      <c r="Q111" s="11" t="s">
        <v>190</v>
      </c>
      <c r="R111" s="14" t="s">
        <v>175</v>
      </c>
      <c r="S111" s="11" t="s">
        <v>190</v>
      </c>
      <c r="T111" s="11" t="s">
        <v>190</v>
      </c>
      <c r="U111" s="11" t="s">
        <v>190</v>
      </c>
      <c r="V111" s="11" t="s">
        <v>190</v>
      </c>
      <c r="W111" s="11" t="s">
        <v>190</v>
      </c>
      <c r="X111" s="11" t="s">
        <v>190</v>
      </c>
      <c r="Y111" s="154" t="s">
        <v>629</v>
      </c>
      <c r="Z111" s="11" t="s">
        <v>190</v>
      </c>
      <c r="AA111" s="17"/>
      <c r="AB111" s="11" t="s">
        <v>190</v>
      </c>
      <c r="AC111" s="12"/>
      <c r="AD111" s="12"/>
      <c r="AE111" s="156" t="s">
        <v>189</v>
      </c>
      <c r="AF111" s="14" t="s">
        <v>1045</v>
      </c>
      <c r="AG111" s="12"/>
      <c r="AH111" s="12"/>
    </row>
    <row r="112" spans="2:34" ht="10.25" customHeight="1" x14ac:dyDescent="0.55000000000000004">
      <c r="B112" s="13" t="s">
        <v>26</v>
      </c>
      <c r="C112" s="13">
        <v>103</v>
      </c>
      <c r="D112" s="14" t="s">
        <v>26</v>
      </c>
      <c r="E112" s="11" t="s">
        <v>190</v>
      </c>
      <c r="F112" s="11" t="s">
        <v>190</v>
      </c>
      <c r="G112" s="11" t="s">
        <v>190</v>
      </c>
      <c r="H112" s="11" t="s">
        <v>190</v>
      </c>
      <c r="I112" s="11" t="s">
        <v>190</v>
      </c>
      <c r="J112" s="11" t="s">
        <v>190</v>
      </c>
      <c r="K112" s="11" t="s">
        <v>190</v>
      </c>
      <c r="L112" s="11" t="s">
        <v>190</v>
      </c>
      <c r="M112" s="11" t="s">
        <v>190</v>
      </c>
      <c r="N112" s="11" t="s">
        <v>190</v>
      </c>
      <c r="O112" s="11" t="s">
        <v>190</v>
      </c>
      <c r="P112" s="11" t="s">
        <v>190</v>
      </c>
      <c r="Q112" s="11" t="s">
        <v>190</v>
      </c>
      <c r="R112" s="11" t="s">
        <v>190</v>
      </c>
      <c r="S112" s="11" t="s">
        <v>190</v>
      </c>
      <c r="T112" s="11" t="s">
        <v>190</v>
      </c>
      <c r="U112" s="11" t="s">
        <v>190</v>
      </c>
      <c r="V112" s="11" t="s">
        <v>190</v>
      </c>
      <c r="W112" s="11" t="s">
        <v>190</v>
      </c>
      <c r="X112" s="11" t="s">
        <v>190</v>
      </c>
      <c r="Y112" s="154" t="s">
        <v>630</v>
      </c>
      <c r="Z112" s="11" t="s">
        <v>190</v>
      </c>
      <c r="AA112" s="15"/>
      <c r="AB112" s="11" t="s">
        <v>190</v>
      </c>
      <c r="AC112" s="12"/>
      <c r="AD112" s="12"/>
      <c r="AE112" s="156" t="s">
        <v>189</v>
      </c>
      <c r="AF112" s="14" t="s">
        <v>1045</v>
      </c>
      <c r="AG112" s="12"/>
      <c r="AH112" s="12"/>
    </row>
    <row r="113" spans="2:34" ht="10.25" customHeight="1" x14ac:dyDescent="0.55000000000000004">
      <c r="B113" s="16" t="s">
        <v>180</v>
      </c>
      <c r="C113" s="76">
        <v>104</v>
      </c>
      <c r="D113" s="11" t="s">
        <v>190</v>
      </c>
      <c r="E113" s="11" t="s">
        <v>190</v>
      </c>
      <c r="F113" s="11" t="s">
        <v>190</v>
      </c>
      <c r="G113" s="11" t="s">
        <v>190</v>
      </c>
      <c r="H113" s="11" t="s">
        <v>190</v>
      </c>
      <c r="I113" s="11" t="s">
        <v>190</v>
      </c>
      <c r="J113" s="11" t="s">
        <v>190</v>
      </c>
      <c r="K113" s="11" t="s">
        <v>190</v>
      </c>
      <c r="L113" s="11" t="s">
        <v>190</v>
      </c>
      <c r="M113" s="11" t="s">
        <v>190</v>
      </c>
      <c r="N113" s="11" t="s">
        <v>190</v>
      </c>
      <c r="O113" s="11" t="s">
        <v>190</v>
      </c>
      <c r="P113" s="11" t="s">
        <v>190</v>
      </c>
      <c r="Q113" s="11" t="s">
        <v>190</v>
      </c>
      <c r="R113" s="11" t="s">
        <v>190</v>
      </c>
      <c r="S113" s="11" t="s">
        <v>190</v>
      </c>
      <c r="T113" s="11" t="s">
        <v>190</v>
      </c>
      <c r="U113" s="11" t="s">
        <v>190</v>
      </c>
      <c r="V113" s="11" t="s">
        <v>190</v>
      </c>
      <c r="W113" s="11" t="s">
        <v>190</v>
      </c>
      <c r="X113" s="11" t="s">
        <v>190</v>
      </c>
      <c r="Y113" s="11" t="s">
        <v>190</v>
      </c>
      <c r="Z113" s="11" t="s">
        <v>190</v>
      </c>
      <c r="AA113" s="16" t="s">
        <v>180</v>
      </c>
      <c r="AB113" s="11" t="s">
        <v>190</v>
      </c>
      <c r="AC113" s="12"/>
      <c r="AD113" s="12" t="s">
        <v>354</v>
      </c>
      <c r="AE113" s="13" t="s">
        <v>360</v>
      </c>
      <c r="AF113" s="14" t="s">
        <v>360</v>
      </c>
      <c r="AG113" s="12"/>
      <c r="AH113" s="12"/>
    </row>
    <row r="114" spans="2:34" ht="10.25" customHeight="1" x14ac:dyDescent="0.55000000000000004">
      <c r="B114" s="16" t="s">
        <v>180</v>
      </c>
      <c r="C114" s="76">
        <v>105</v>
      </c>
      <c r="D114" s="11" t="s">
        <v>190</v>
      </c>
      <c r="E114" s="11" t="s">
        <v>190</v>
      </c>
      <c r="F114" s="11" t="s">
        <v>190</v>
      </c>
      <c r="G114" s="11" t="s">
        <v>190</v>
      </c>
      <c r="H114" s="11" t="s">
        <v>190</v>
      </c>
      <c r="I114" s="11" t="s">
        <v>190</v>
      </c>
      <c r="J114" s="11" t="s">
        <v>190</v>
      </c>
      <c r="K114" s="11" t="s">
        <v>190</v>
      </c>
      <c r="L114" s="11" t="s">
        <v>190</v>
      </c>
      <c r="M114" s="11" t="s">
        <v>190</v>
      </c>
      <c r="N114" s="11" t="s">
        <v>190</v>
      </c>
      <c r="O114" s="11" t="s">
        <v>190</v>
      </c>
      <c r="P114" s="11" t="s">
        <v>190</v>
      </c>
      <c r="Q114" s="11" t="s">
        <v>190</v>
      </c>
      <c r="R114" s="11" t="s">
        <v>190</v>
      </c>
      <c r="S114" s="11" t="s">
        <v>190</v>
      </c>
      <c r="T114" s="11" t="s">
        <v>190</v>
      </c>
      <c r="U114" s="11" t="s">
        <v>190</v>
      </c>
      <c r="V114" s="11" t="s">
        <v>190</v>
      </c>
      <c r="W114" s="11" t="s">
        <v>190</v>
      </c>
      <c r="X114" s="11" t="s">
        <v>190</v>
      </c>
      <c r="Y114" s="11" t="s">
        <v>190</v>
      </c>
      <c r="Z114" s="11" t="s">
        <v>190</v>
      </c>
      <c r="AA114" s="16" t="s">
        <v>180</v>
      </c>
      <c r="AB114" s="11" t="s">
        <v>190</v>
      </c>
      <c r="AC114" s="12"/>
      <c r="AD114" s="12" t="s">
        <v>354</v>
      </c>
      <c r="AE114" s="13" t="s">
        <v>360</v>
      </c>
      <c r="AF114" s="14" t="s">
        <v>360</v>
      </c>
      <c r="AG114" s="12"/>
      <c r="AH114" s="12"/>
    </row>
    <row r="115" spans="2:34" ht="10.25" customHeight="1" x14ac:dyDescent="0.55000000000000004">
      <c r="B115" s="16" t="s">
        <v>181</v>
      </c>
      <c r="C115" s="76">
        <v>106</v>
      </c>
      <c r="D115" s="11" t="s">
        <v>190</v>
      </c>
      <c r="E115" s="11" t="s">
        <v>190</v>
      </c>
      <c r="F115" s="11" t="s">
        <v>190</v>
      </c>
      <c r="G115" s="11" t="s">
        <v>190</v>
      </c>
      <c r="H115" s="11" t="s">
        <v>190</v>
      </c>
      <c r="I115" s="11" t="s">
        <v>190</v>
      </c>
      <c r="J115" s="11" t="s">
        <v>190</v>
      </c>
      <c r="K115" s="11" t="s">
        <v>190</v>
      </c>
      <c r="L115" s="11" t="s">
        <v>190</v>
      </c>
      <c r="M115" s="11" t="s">
        <v>190</v>
      </c>
      <c r="N115" s="11" t="s">
        <v>190</v>
      </c>
      <c r="O115" s="11" t="s">
        <v>190</v>
      </c>
      <c r="P115" s="11" t="s">
        <v>190</v>
      </c>
      <c r="Q115" s="11" t="s">
        <v>190</v>
      </c>
      <c r="R115" s="11" t="s">
        <v>190</v>
      </c>
      <c r="S115" s="11" t="s">
        <v>190</v>
      </c>
      <c r="T115" s="11" t="s">
        <v>190</v>
      </c>
      <c r="U115" s="11" t="s">
        <v>190</v>
      </c>
      <c r="V115" s="11" t="s">
        <v>190</v>
      </c>
      <c r="W115" s="11" t="s">
        <v>190</v>
      </c>
      <c r="X115" s="11" t="s">
        <v>190</v>
      </c>
      <c r="Y115" s="11" t="s">
        <v>190</v>
      </c>
      <c r="Z115" s="11" t="s">
        <v>190</v>
      </c>
      <c r="AA115" s="16" t="s">
        <v>181</v>
      </c>
      <c r="AB115" s="11" t="s">
        <v>190</v>
      </c>
      <c r="AC115" s="12"/>
      <c r="AD115" s="12" t="s">
        <v>1031</v>
      </c>
      <c r="AE115" s="13" t="s">
        <v>360</v>
      </c>
      <c r="AF115" s="14" t="s">
        <v>360</v>
      </c>
      <c r="AG115" s="12"/>
      <c r="AH115" s="12"/>
    </row>
    <row r="116" spans="2:34" ht="10.25" customHeight="1" x14ac:dyDescent="0.55000000000000004">
      <c r="B116" s="9" t="s">
        <v>179</v>
      </c>
      <c r="C116" s="76">
        <v>107</v>
      </c>
      <c r="D116" s="11" t="s">
        <v>190</v>
      </c>
      <c r="E116" s="11" t="s">
        <v>190</v>
      </c>
      <c r="F116" s="11" t="s">
        <v>190</v>
      </c>
      <c r="G116" s="11" t="s">
        <v>190</v>
      </c>
      <c r="H116" s="11" t="s">
        <v>190</v>
      </c>
      <c r="I116" s="11" t="s">
        <v>190</v>
      </c>
      <c r="J116" s="11" t="s">
        <v>190</v>
      </c>
      <c r="K116" s="11" t="s">
        <v>190</v>
      </c>
      <c r="L116" s="11" t="s">
        <v>190</v>
      </c>
      <c r="M116" s="11" t="s">
        <v>190</v>
      </c>
      <c r="N116" s="11" t="s">
        <v>190</v>
      </c>
      <c r="O116" s="11" t="s">
        <v>190</v>
      </c>
      <c r="P116" s="11" t="s">
        <v>190</v>
      </c>
      <c r="Q116" s="11" t="s">
        <v>190</v>
      </c>
      <c r="R116" s="11" t="s">
        <v>190</v>
      </c>
      <c r="S116" s="11" t="s">
        <v>190</v>
      </c>
      <c r="T116" s="11" t="s">
        <v>190</v>
      </c>
      <c r="U116" s="11" t="s">
        <v>190</v>
      </c>
      <c r="V116" s="11" t="s">
        <v>190</v>
      </c>
      <c r="W116" s="11" t="s">
        <v>190</v>
      </c>
      <c r="X116" s="11" t="s">
        <v>190</v>
      </c>
      <c r="Y116" s="11" t="s">
        <v>190</v>
      </c>
      <c r="Z116" s="11" t="s">
        <v>190</v>
      </c>
      <c r="AA116" s="9" t="s">
        <v>179</v>
      </c>
      <c r="AB116" s="11" t="s">
        <v>190</v>
      </c>
      <c r="AC116" s="12"/>
      <c r="AD116" s="12" t="s">
        <v>355</v>
      </c>
      <c r="AE116" s="13" t="s">
        <v>360</v>
      </c>
      <c r="AF116" s="14" t="s">
        <v>360</v>
      </c>
      <c r="AG116" s="12"/>
      <c r="AH116" s="12"/>
    </row>
    <row r="117" spans="2:34" ht="10.25" customHeight="1" x14ac:dyDescent="0.55000000000000004">
      <c r="B117" s="20" t="s">
        <v>183</v>
      </c>
      <c r="C117" s="76">
        <v>108</v>
      </c>
      <c r="D117" s="20" t="s">
        <v>183</v>
      </c>
      <c r="E117" s="11" t="s">
        <v>190</v>
      </c>
      <c r="F117" s="11" t="s">
        <v>190</v>
      </c>
      <c r="G117" s="11" t="s">
        <v>190</v>
      </c>
      <c r="H117" s="11" t="s">
        <v>190</v>
      </c>
      <c r="I117" s="11" t="s">
        <v>190</v>
      </c>
      <c r="J117" s="11" t="s">
        <v>190</v>
      </c>
      <c r="K117" s="11" t="s">
        <v>190</v>
      </c>
      <c r="L117" s="11" t="s">
        <v>190</v>
      </c>
      <c r="M117" s="11" t="s">
        <v>190</v>
      </c>
      <c r="N117" s="11" t="s">
        <v>190</v>
      </c>
      <c r="O117" s="11" t="s">
        <v>190</v>
      </c>
      <c r="P117" s="11" t="s">
        <v>190</v>
      </c>
      <c r="Q117" s="11" t="s">
        <v>190</v>
      </c>
      <c r="R117" s="11" t="s">
        <v>190</v>
      </c>
      <c r="S117" s="11" t="s">
        <v>190</v>
      </c>
      <c r="T117" s="11" t="s">
        <v>190</v>
      </c>
      <c r="U117" s="11" t="s">
        <v>190</v>
      </c>
      <c r="V117" s="11" t="s">
        <v>190</v>
      </c>
      <c r="W117" s="11" t="s">
        <v>190</v>
      </c>
      <c r="X117" s="11" t="s">
        <v>190</v>
      </c>
      <c r="Y117" s="11" t="s">
        <v>190</v>
      </c>
      <c r="Z117" s="11" t="s">
        <v>190</v>
      </c>
      <c r="AA117" s="20" t="s">
        <v>183</v>
      </c>
      <c r="AB117" s="11" t="s">
        <v>190</v>
      </c>
      <c r="AC117" s="12"/>
      <c r="AD117" s="12" t="s">
        <v>1032</v>
      </c>
      <c r="AE117" s="13" t="s">
        <v>360</v>
      </c>
      <c r="AF117" s="14" t="s">
        <v>360</v>
      </c>
      <c r="AG117" s="12"/>
      <c r="AH117" s="12"/>
    </row>
    <row r="118" spans="2:34" ht="10.25" customHeight="1" x14ac:dyDescent="0.55000000000000004">
      <c r="B118" s="13" t="s">
        <v>1011</v>
      </c>
      <c r="C118" s="13">
        <v>109</v>
      </c>
      <c r="D118" s="14" t="s">
        <v>28</v>
      </c>
      <c r="E118" s="14" t="s">
        <v>551</v>
      </c>
      <c r="F118" s="14" t="s">
        <v>669</v>
      </c>
      <c r="G118" s="14" t="s">
        <v>670</v>
      </c>
      <c r="H118" s="11" t="s">
        <v>190</v>
      </c>
      <c r="I118" s="11" t="s">
        <v>190</v>
      </c>
      <c r="J118" s="11" t="s">
        <v>190</v>
      </c>
      <c r="K118" s="11" t="s">
        <v>190</v>
      </c>
      <c r="L118" s="11" t="s">
        <v>190</v>
      </c>
      <c r="M118" s="11" t="s">
        <v>190</v>
      </c>
      <c r="N118" s="14" t="s">
        <v>402</v>
      </c>
      <c r="O118" s="14" t="s">
        <v>392</v>
      </c>
      <c r="P118" s="14" t="s">
        <v>968</v>
      </c>
      <c r="Q118" s="11" t="s">
        <v>190</v>
      </c>
      <c r="R118" s="11" t="s">
        <v>190</v>
      </c>
      <c r="S118" s="14" t="s">
        <v>1117</v>
      </c>
      <c r="T118" s="11" t="s">
        <v>190</v>
      </c>
      <c r="U118" s="11" t="s">
        <v>190</v>
      </c>
      <c r="V118" s="11" t="s">
        <v>190</v>
      </c>
      <c r="W118" s="11" t="s">
        <v>190</v>
      </c>
      <c r="X118" s="11" t="s">
        <v>190</v>
      </c>
      <c r="Y118" s="154" t="s">
        <v>191</v>
      </c>
      <c r="Z118" s="11" t="s">
        <v>190</v>
      </c>
      <c r="AA118" s="17"/>
      <c r="AB118" s="11" t="s">
        <v>190</v>
      </c>
      <c r="AC118" s="12" t="s">
        <v>1182</v>
      </c>
      <c r="AD118" s="12"/>
      <c r="AE118" s="13" t="s">
        <v>1042</v>
      </c>
      <c r="AF118" s="14" t="s">
        <v>1046</v>
      </c>
      <c r="AG118" s="12"/>
      <c r="AH118" s="12"/>
    </row>
    <row r="119" spans="2:34" ht="10.25" customHeight="1" x14ac:dyDescent="0.55000000000000004">
      <c r="B119" s="13" t="s">
        <v>29</v>
      </c>
      <c r="C119" s="74">
        <v>110</v>
      </c>
      <c r="D119" s="14" t="s">
        <v>29</v>
      </c>
      <c r="E119" s="14" t="s">
        <v>553</v>
      </c>
      <c r="F119" s="14" t="s">
        <v>552</v>
      </c>
      <c r="G119" s="14" t="s">
        <v>671</v>
      </c>
      <c r="H119" s="11" t="s">
        <v>190</v>
      </c>
      <c r="I119" s="11" t="s">
        <v>190</v>
      </c>
      <c r="J119" s="11" t="s">
        <v>190</v>
      </c>
      <c r="K119" s="11" t="s">
        <v>190</v>
      </c>
      <c r="L119" s="11" t="s">
        <v>190</v>
      </c>
      <c r="M119" s="11" t="s">
        <v>190</v>
      </c>
      <c r="N119" s="14" t="s">
        <v>397</v>
      </c>
      <c r="O119" s="14" t="s">
        <v>396</v>
      </c>
      <c r="P119" s="14" t="s">
        <v>401</v>
      </c>
      <c r="Q119" s="11" t="s">
        <v>190</v>
      </c>
      <c r="R119" s="11" t="s">
        <v>190</v>
      </c>
      <c r="S119" s="14" t="s">
        <v>1118</v>
      </c>
      <c r="T119" s="11" t="s">
        <v>190</v>
      </c>
      <c r="U119" s="11" t="s">
        <v>190</v>
      </c>
      <c r="V119" s="11" t="s">
        <v>190</v>
      </c>
      <c r="W119" s="11" t="s">
        <v>190</v>
      </c>
      <c r="X119" s="11" t="s">
        <v>190</v>
      </c>
      <c r="Y119" s="154" t="s">
        <v>192</v>
      </c>
      <c r="Z119" s="11" t="s">
        <v>190</v>
      </c>
      <c r="AA119" s="17"/>
      <c r="AB119" s="11" t="s">
        <v>190</v>
      </c>
      <c r="AC119" s="12" t="s">
        <v>1182</v>
      </c>
      <c r="AD119" s="12"/>
      <c r="AE119" s="13" t="s">
        <v>1042</v>
      </c>
      <c r="AF119" s="14" t="s">
        <v>1046</v>
      </c>
      <c r="AG119" s="12"/>
      <c r="AH119" s="12"/>
    </row>
    <row r="120" spans="2:34" ht="10.25" customHeight="1" x14ac:dyDescent="0.55000000000000004">
      <c r="B120" s="13" t="s">
        <v>30</v>
      </c>
      <c r="C120" s="74">
        <v>111</v>
      </c>
      <c r="D120" s="14" t="s">
        <v>30</v>
      </c>
      <c r="E120" s="14" t="s">
        <v>555</v>
      </c>
      <c r="F120" s="14" t="s">
        <v>554</v>
      </c>
      <c r="G120" s="14" t="s">
        <v>672</v>
      </c>
      <c r="H120" s="11" t="s">
        <v>190</v>
      </c>
      <c r="I120" s="11" t="s">
        <v>190</v>
      </c>
      <c r="J120" s="11" t="s">
        <v>190</v>
      </c>
      <c r="K120" s="11" t="s">
        <v>190</v>
      </c>
      <c r="L120" s="11" t="s">
        <v>190</v>
      </c>
      <c r="M120" s="11" t="s">
        <v>190</v>
      </c>
      <c r="N120" s="14" t="s">
        <v>393</v>
      </c>
      <c r="O120" s="14" t="s">
        <v>400</v>
      </c>
      <c r="P120" s="11" t="s">
        <v>190</v>
      </c>
      <c r="Q120" s="11" t="s">
        <v>190</v>
      </c>
      <c r="R120" s="11" t="s">
        <v>190</v>
      </c>
      <c r="S120" s="14" t="s">
        <v>1119</v>
      </c>
      <c r="T120" s="11" t="s">
        <v>190</v>
      </c>
      <c r="U120" s="11" t="s">
        <v>190</v>
      </c>
      <c r="V120" s="11" t="s">
        <v>190</v>
      </c>
      <c r="W120" s="11" t="s">
        <v>190</v>
      </c>
      <c r="X120" s="11" t="s">
        <v>190</v>
      </c>
      <c r="Y120" s="154" t="s">
        <v>193</v>
      </c>
      <c r="Z120" s="11" t="s">
        <v>190</v>
      </c>
      <c r="AA120" s="17"/>
      <c r="AB120" s="11" t="s">
        <v>190</v>
      </c>
      <c r="AC120" s="12" t="s">
        <v>1182</v>
      </c>
      <c r="AD120" s="12"/>
      <c r="AE120" s="13" t="s">
        <v>1042</v>
      </c>
      <c r="AF120" s="14" t="s">
        <v>1046</v>
      </c>
      <c r="AG120" s="12"/>
      <c r="AH120" s="12"/>
    </row>
    <row r="121" spans="2:34" ht="10.25" customHeight="1" x14ac:dyDescent="0.55000000000000004">
      <c r="B121" s="13" t="s">
        <v>32</v>
      </c>
      <c r="C121" s="13">
        <v>112</v>
      </c>
      <c r="D121" s="14" t="s">
        <v>32</v>
      </c>
      <c r="E121" s="14" t="s">
        <v>557</v>
      </c>
      <c r="F121" s="14" t="s">
        <v>556</v>
      </c>
      <c r="G121" s="14" t="s">
        <v>673</v>
      </c>
      <c r="H121" s="11" t="s">
        <v>190</v>
      </c>
      <c r="I121" s="11" t="s">
        <v>190</v>
      </c>
      <c r="J121" s="11" t="s">
        <v>190</v>
      </c>
      <c r="K121" s="11" t="s">
        <v>190</v>
      </c>
      <c r="L121" s="11" t="s">
        <v>190</v>
      </c>
      <c r="M121" s="11" t="s">
        <v>190</v>
      </c>
      <c r="N121" s="14" t="s">
        <v>406</v>
      </c>
      <c r="O121" s="14" t="s">
        <v>405</v>
      </c>
      <c r="P121" s="11" t="s">
        <v>190</v>
      </c>
      <c r="Q121" s="11" t="s">
        <v>190</v>
      </c>
      <c r="R121" s="11" t="s">
        <v>190</v>
      </c>
      <c r="S121" s="14" t="s">
        <v>1120</v>
      </c>
      <c r="T121" s="11" t="s">
        <v>190</v>
      </c>
      <c r="U121" s="11" t="s">
        <v>190</v>
      </c>
      <c r="V121" s="11" t="s">
        <v>190</v>
      </c>
      <c r="W121" s="11" t="s">
        <v>190</v>
      </c>
      <c r="X121" s="11" t="s">
        <v>190</v>
      </c>
      <c r="Y121" s="154" t="s">
        <v>194</v>
      </c>
      <c r="Z121" s="11" t="s">
        <v>190</v>
      </c>
      <c r="AA121" s="17"/>
      <c r="AB121" s="11" t="s">
        <v>190</v>
      </c>
      <c r="AC121" s="12" t="s">
        <v>1182</v>
      </c>
      <c r="AD121" s="12"/>
      <c r="AE121" s="13" t="s">
        <v>1042</v>
      </c>
      <c r="AF121" s="14" t="s">
        <v>1046</v>
      </c>
      <c r="AG121" s="12"/>
      <c r="AH121" s="12"/>
    </row>
    <row r="122" spans="2:34" ht="10.25" customHeight="1" x14ac:dyDescent="0.55000000000000004">
      <c r="B122" s="13" t="s">
        <v>674</v>
      </c>
      <c r="C122" s="13">
        <v>113</v>
      </c>
      <c r="D122" s="14" t="s">
        <v>674</v>
      </c>
      <c r="E122" s="14" t="s">
        <v>380</v>
      </c>
      <c r="F122" s="14" t="s">
        <v>558</v>
      </c>
      <c r="G122" s="14" t="s">
        <v>675</v>
      </c>
      <c r="H122" s="11" t="s">
        <v>190</v>
      </c>
      <c r="I122" s="11" t="s">
        <v>190</v>
      </c>
      <c r="J122" s="11" t="s">
        <v>190</v>
      </c>
      <c r="K122" s="11" t="s">
        <v>190</v>
      </c>
      <c r="L122" s="11" t="s">
        <v>190</v>
      </c>
      <c r="M122" s="11" t="s">
        <v>190</v>
      </c>
      <c r="N122" s="14" t="s">
        <v>410</v>
      </c>
      <c r="O122" s="11" t="s">
        <v>190</v>
      </c>
      <c r="P122" s="11" t="s">
        <v>190</v>
      </c>
      <c r="Q122" s="11" t="s">
        <v>190</v>
      </c>
      <c r="R122" s="11" t="s">
        <v>190</v>
      </c>
      <c r="S122" s="11" t="s">
        <v>190</v>
      </c>
      <c r="T122" s="11" t="s">
        <v>190</v>
      </c>
      <c r="U122" s="11" t="s">
        <v>190</v>
      </c>
      <c r="V122" s="11" t="s">
        <v>190</v>
      </c>
      <c r="W122" s="11" t="s">
        <v>190</v>
      </c>
      <c r="X122" s="11" t="s">
        <v>190</v>
      </c>
      <c r="Y122" s="11" t="s">
        <v>190</v>
      </c>
      <c r="Z122" s="11" t="s">
        <v>190</v>
      </c>
      <c r="AA122" s="17"/>
      <c r="AB122" s="11" t="s">
        <v>190</v>
      </c>
      <c r="AC122" s="12" t="s">
        <v>1182</v>
      </c>
      <c r="AD122" s="12"/>
      <c r="AE122" s="13" t="s">
        <v>1042</v>
      </c>
      <c r="AF122" s="14" t="s">
        <v>1046</v>
      </c>
      <c r="AG122" s="12"/>
      <c r="AH122" s="12"/>
    </row>
    <row r="123" spans="2:34" ht="10.25" customHeight="1" x14ac:dyDescent="0.55000000000000004">
      <c r="B123" s="13" t="s">
        <v>676</v>
      </c>
      <c r="C123" s="13">
        <v>114</v>
      </c>
      <c r="D123" s="14" t="s">
        <v>676</v>
      </c>
      <c r="E123" s="14" t="s">
        <v>383</v>
      </c>
      <c r="F123" s="14" t="s">
        <v>409</v>
      </c>
      <c r="G123" s="14" t="s">
        <v>677</v>
      </c>
      <c r="H123" s="11" t="s">
        <v>190</v>
      </c>
      <c r="I123" s="11" t="s">
        <v>190</v>
      </c>
      <c r="J123" s="11" t="s">
        <v>190</v>
      </c>
      <c r="K123" s="11" t="s">
        <v>190</v>
      </c>
      <c r="L123" s="11" t="s">
        <v>190</v>
      </c>
      <c r="M123" s="11" t="s">
        <v>190</v>
      </c>
      <c r="N123" s="11" t="s">
        <v>190</v>
      </c>
      <c r="O123" s="11" t="s">
        <v>190</v>
      </c>
      <c r="P123" s="11" t="s">
        <v>190</v>
      </c>
      <c r="Q123" s="11" t="s">
        <v>190</v>
      </c>
      <c r="R123" s="11" t="s">
        <v>190</v>
      </c>
      <c r="S123" s="11" t="s">
        <v>190</v>
      </c>
      <c r="T123" s="11" t="s">
        <v>190</v>
      </c>
      <c r="U123" s="11" t="s">
        <v>190</v>
      </c>
      <c r="V123" s="11" t="s">
        <v>190</v>
      </c>
      <c r="W123" s="11" t="s">
        <v>190</v>
      </c>
      <c r="X123" s="11" t="s">
        <v>190</v>
      </c>
      <c r="Y123" s="11" t="s">
        <v>190</v>
      </c>
      <c r="Z123" s="11" t="s">
        <v>190</v>
      </c>
      <c r="AA123" s="17"/>
      <c r="AB123" s="11" t="s">
        <v>190</v>
      </c>
      <c r="AC123" s="12"/>
      <c r="AD123" s="12"/>
      <c r="AE123" s="13" t="s">
        <v>1042</v>
      </c>
      <c r="AF123" s="14" t="s">
        <v>1046</v>
      </c>
      <c r="AG123" s="12"/>
      <c r="AH123" s="12"/>
    </row>
    <row r="124" spans="2:34" ht="10.25" customHeight="1" x14ac:dyDescent="0.55000000000000004">
      <c r="B124" s="13" t="s">
        <v>678</v>
      </c>
      <c r="C124" s="13">
        <v>115</v>
      </c>
      <c r="D124" s="14" t="s">
        <v>678</v>
      </c>
      <c r="E124" s="14" t="s">
        <v>386</v>
      </c>
      <c r="F124" s="14" t="s">
        <v>413</v>
      </c>
      <c r="G124" s="14" t="s">
        <v>679</v>
      </c>
      <c r="H124" s="11" t="s">
        <v>190</v>
      </c>
      <c r="I124" s="11" t="s">
        <v>190</v>
      </c>
      <c r="J124" s="11" t="s">
        <v>190</v>
      </c>
      <c r="K124" s="11" t="s">
        <v>190</v>
      </c>
      <c r="L124" s="11" t="s">
        <v>190</v>
      </c>
      <c r="M124" s="11" t="s">
        <v>190</v>
      </c>
      <c r="N124" s="11" t="s">
        <v>190</v>
      </c>
      <c r="O124" s="11" t="s">
        <v>190</v>
      </c>
      <c r="P124" s="11" t="s">
        <v>190</v>
      </c>
      <c r="Q124" s="11" t="s">
        <v>190</v>
      </c>
      <c r="R124" s="11" t="s">
        <v>190</v>
      </c>
      <c r="S124" s="11" t="s">
        <v>190</v>
      </c>
      <c r="T124" s="11" t="s">
        <v>190</v>
      </c>
      <c r="U124" s="11" t="s">
        <v>190</v>
      </c>
      <c r="V124" s="11" t="s">
        <v>190</v>
      </c>
      <c r="W124" s="11" t="s">
        <v>190</v>
      </c>
      <c r="X124" s="11" t="s">
        <v>190</v>
      </c>
      <c r="Y124" s="11" t="s">
        <v>190</v>
      </c>
      <c r="Z124" s="11" t="s">
        <v>190</v>
      </c>
      <c r="AA124" s="17"/>
      <c r="AB124" s="11" t="s">
        <v>190</v>
      </c>
      <c r="AC124" s="12"/>
      <c r="AD124" s="12"/>
      <c r="AE124" s="13" t="s">
        <v>1042</v>
      </c>
      <c r="AF124" s="14" t="s">
        <v>1046</v>
      </c>
      <c r="AG124" s="12"/>
      <c r="AH124" s="12"/>
    </row>
    <row r="125" spans="2:34" ht="10.25" customHeight="1" x14ac:dyDescent="0.55000000000000004">
      <c r="B125" s="13" t="s">
        <v>680</v>
      </c>
      <c r="C125" s="13">
        <v>116</v>
      </c>
      <c r="D125" s="14" t="s">
        <v>680</v>
      </c>
      <c r="E125" s="14" t="s">
        <v>389</v>
      </c>
      <c r="F125" s="14" t="s">
        <v>416</v>
      </c>
      <c r="G125" s="14" t="s">
        <v>681</v>
      </c>
      <c r="H125" s="11" t="s">
        <v>190</v>
      </c>
      <c r="I125" s="11" t="s">
        <v>190</v>
      </c>
      <c r="J125" s="11" t="s">
        <v>190</v>
      </c>
      <c r="K125" s="11" t="s">
        <v>190</v>
      </c>
      <c r="L125" s="11" t="s">
        <v>190</v>
      </c>
      <c r="M125" s="11" t="s">
        <v>190</v>
      </c>
      <c r="N125" s="11" t="s">
        <v>190</v>
      </c>
      <c r="O125" s="11" t="s">
        <v>190</v>
      </c>
      <c r="P125" s="11" t="s">
        <v>190</v>
      </c>
      <c r="Q125" s="11" t="s">
        <v>190</v>
      </c>
      <c r="R125" s="11" t="s">
        <v>190</v>
      </c>
      <c r="S125" s="11" t="s">
        <v>190</v>
      </c>
      <c r="T125" s="11" t="s">
        <v>190</v>
      </c>
      <c r="U125" s="11" t="s">
        <v>190</v>
      </c>
      <c r="V125" s="11" t="s">
        <v>190</v>
      </c>
      <c r="W125" s="11" t="s">
        <v>190</v>
      </c>
      <c r="X125" s="11" t="s">
        <v>190</v>
      </c>
      <c r="Y125" s="11" t="s">
        <v>190</v>
      </c>
      <c r="Z125" s="11" t="s">
        <v>190</v>
      </c>
      <c r="AA125" s="15"/>
      <c r="AB125" s="11" t="s">
        <v>190</v>
      </c>
      <c r="AC125" s="12"/>
      <c r="AD125" s="12"/>
      <c r="AE125" s="13" t="s">
        <v>1042</v>
      </c>
      <c r="AF125" s="14" t="s">
        <v>1046</v>
      </c>
      <c r="AG125" s="12"/>
      <c r="AH125" s="12"/>
    </row>
    <row r="126" spans="2:34" ht="10.25" customHeight="1" x14ac:dyDescent="0.55000000000000004">
      <c r="B126" s="13" t="s">
        <v>1012</v>
      </c>
      <c r="C126" s="13">
        <v>117</v>
      </c>
      <c r="D126" s="14" t="s">
        <v>34</v>
      </c>
      <c r="E126" s="14" t="s">
        <v>682</v>
      </c>
      <c r="F126" s="14" t="s">
        <v>421</v>
      </c>
      <c r="G126" s="14" t="s">
        <v>683</v>
      </c>
      <c r="H126" s="11" t="s">
        <v>190</v>
      </c>
      <c r="I126" s="11" t="s">
        <v>190</v>
      </c>
      <c r="J126" s="11" t="s">
        <v>190</v>
      </c>
      <c r="K126" s="11" t="s">
        <v>190</v>
      </c>
      <c r="L126" s="11" t="s">
        <v>190</v>
      </c>
      <c r="M126" s="11" t="s">
        <v>190</v>
      </c>
      <c r="N126" s="14" t="s">
        <v>684</v>
      </c>
      <c r="O126" s="14" t="s">
        <v>685</v>
      </c>
      <c r="P126" s="14" t="s">
        <v>969</v>
      </c>
      <c r="Q126" s="11" t="s">
        <v>190</v>
      </c>
      <c r="R126" s="11" t="s">
        <v>190</v>
      </c>
      <c r="S126" s="11" t="s">
        <v>190</v>
      </c>
      <c r="T126" s="11" t="s">
        <v>190</v>
      </c>
      <c r="U126" s="11" t="s">
        <v>190</v>
      </c>
      <c r="V126" s="11" t="s">
        <v>190</v>
      </c>
      <c r="W126" s="11" t="s">
        <v>190</v>
      </c>
      <c r="X126" s="11" t="s">
        <v>190</v>
      </c>
      <c r="Y126" s="150" t="s">
        <v>195</v>
      </c>
      <c r="Z126" s="11" t="s">
        <v>190</v>
      </c>
      <c r="AA126" s="15"/>
      <c r="AB126" s="11" t="s">
        <v>190</v>
      </c>
      <c r="AC126" s="12" t="s">
        <v>1182</v>
      </c>
      <c r="AD126" s="12"/>
      <c r="AE126" s="13" t="s">
        <v>1042</v>
      </c>
      <c r="AF126" s="14" t="s">
        <v>1046</v>
      </c>
      <c r="AG126" s="12"/>
      <c r="AH126" s="12"/>
    </row>
    <row r="127" spans="2:34" ht="10.25" customHeight="1" x14ac:dyDescent="0.55000000000000004">
      <c r="B127" s="13" t="s">
        <v>38</v>
      </c>
      <c r="C127" s="13">
        <v>118</v>
      </c>
      <c r="D127" s="14" t="s">
        <v>38</v>
      </c>
      <c r="E127" s="14" t="s">
        <v>686</v>
      </c>
      <c r="F127" s="14" t="s">
        <v>687</v>
      </c>
      <c r="G127" s="14" t="s">
        <v>688</v>
      </c>
      <c r="H127" s="11" t="s">
        <v>190</v>
      </c>
      <c r="I127" s="11" t="s">
        <v>190</v>
      </c>
      <c r="J127" s="11" t="s">
        <v>190</v>
      </c>
      <c r="K127" s="11" t="s">
        <v>190</v>
      </c>
      <c r="L127" s="11" t="s">
        <v>190</v>
      </c>
      <c r="M127" s="11" t="s">
        <v>190</v>
      </c>
      <c r="N127" s="14" t="s">
        <v>689</v>
      </c>
      <c r="O127" s="14" t="s">
        <v>690</v>
      </c>
      <c r="P127" s="14" t="s">
        <v>970</v>
      </c>
      <c r="Q127" s="11" t="s">
        <v>190</v>
      </c>
      <c r="R127" s="11" t="s">
        <v>190</v>
      </c>
      <c r="S127" s="11" t="s">
        <v>190</v>
      </c>
      <c r="T127" s="11" t="s">
        <v>190</v>
      </c>
      <c r="U127" s="11" t="s">
        <v>190</v>
      </c>
      <c r="V127" s="11" t="s">
        <v>190</v>
      </c>
      <c r="W127" s="11" t="s">
        <v>190</v>
      </c>
      <c r="X127" s="11" t="s">
        <v>190</v>
      </c>
      <c r="Y127" s="150" t="s">
        <v>196</v>
      </c>
      <c r="Z127" s="11" t="s">
        <v>190</v>
      </c>
      <c r="AA127" s="17"/>
      <c r="AB127" s="11" t="s">
        <v>190</v>
      </c>
      <c r="AC127" s="12" t="s">
        <v>1182</v>
      </c>
      <c r="AD127" s="12"/>
      <c r="AE127" s="13" t="s">
        <v>1042</v>
      </c>
      <c r="AF127" s="14" t="s">
        <v>1046</v>
      </c>
      <c r="AG127" s="12"/>
      <c r="AH127" s="12"/>
    </row>
    <row r="128" spans="2:34" ht="10.25" customHeight="1" x14ac:dyDescent="0.55000000000000004">
      <c r="B128" s="13" t="s">
        <v>42</v>
      </c>
      <c r="C128" s="13">
        <v>119</v>
      </c>
      <c r="D128" s="14" t="s">
        <v>42</v>
      </c>
      <c r="E128" s="14" t="s">
        <v>691</v>
      </c>
      <c r="F128" s="14" t="s">
        <v>692</v>
      </c>
      <c r="G128" s="14" t="s">
        <v>693</v>
      </c>
      <c r="H128" s="11" t="s">
        <v>190</v>
      </c>
      <c r="I128" s="150" t="s">
        <v>39</v>
      </c>
      <c r="J128" s="151" t="s">
        <v>468</v>
      </c>
      <c r="K128" s="157" t="s">
        <v>36</v>
      </c>
      <c r="L128" s="11" t="s">
        <v>190</v>
      </c>
      <c r="M128" s="11" t="s">
        <v>190</v>
      </c>
      <c r="N128" s="14" t="s">
        <v>694</v>
      </c>
      <c r="O128" s="14" t="s">
        <v>695</v>
      </c>
      <c r="P128" s="11" t="s">
        <v>190</v>
      </c>
      <c r="Q128" s="14" t="s">
        <v>54</v>
      </c>
      <c r="R128" s="11" t="s">
        <v>190</v>
      </c>
      <c r="S128" s="11" t="s">
        <v>190</v>
      </c>
      <c r="T128" s="11" t="s">
        <v>190</v>
      </c>
      <c r="U128" s="11" t="s">
        <v>190</v>
      </c>
      <c r="V128" s="11" t="s">
        <v>190</v>
      </c>
      <c r="W128" s="11" t="s">
        <v>190</v>
      </c>
      <c r="X128" s="11" t="s">
        <v>190</v>
      </c>
      <c r="Y128" s="150" t="s">
        <v>197</v>
      </c>
      <c r="Z128" s="11" t="s">
        <v>190</v>
      </c>
      <c r="AA128" s="17"/>
      <c r="AB128" s="11" t="s">
        <v>190</v>
      </c>
      <c r="AC128" s="12" t="s">
        <v>1182</v>
      </c>
      <c r="AD128" s="12"/>
      <c r="AE128" s="13" t="s">
        <v>1042</v>
      </c>
      <c r="AF128" s="14" t="s">
        <v>1046</v>
      </c>
      <c r="AG128" s="12"/>
      <c r="AH128" s="12"/>
    </row>
    <row r="129" spans="2:34" ht="10.25" customHeight="1" x14ac:dyDescent="0.55000000000000004">
      <c r="B129" s="13" t="s">
        <v>45</v>
      </c>
      <c r="C129" s="13">
        <v>120</v>
      </c>
      <c r="D129" s="14" t="s">
        <v>45</v>
      </c>
      <c r="E129" s="14" t="s">
        <v>696</v>
      </c>
      <c r="F129" s="14" t="s">
        <v>697</v>
      </c>
      <c r="G129" s="14" t="s">
        <v>698</v>
      </c>
      <c r="H129" s="11" t="s">
        <v>190</v>
      </c>
      <c r="I129" s="150" t="s">
        <v>35</v>
      </c>
      <c r="J129" s="151" t="s">
        <v>465</v>
      </c>
      <c r="K129" s="157" t="s">
        <v>40</v>
      </c>
      <c r="L129" s="11" t="s">
        <v>190</v>
      </c>
      <c r="M129" s="11" t="s">
        <v>190</v>
      </c>
      <c r="N129" s="14" t="s">
        <v>699</v>
      </c>
      <c r="O129" s="14" t="s">
        <v>700</v>
      </c>
      <c r="P129" s="11" t="s">
        <v>190</v>
      </c>
      <c r="Q129" s="14" t="s">
        <v>33</v>
      </c>
      <c r="R129" s="11" t="s">
        <v>190</v>
      </c>
      <c r="S129" s="11" t="s">
        <v>190</v>
      </c>
      <c r="T129" s="11" t="s">
        <v>190</v>
      </c>
      <c r="U129" s="11" t="s">
        <v>190</v>
      </c>
      <c r="V129" s="11" t="s">
        <v>190</v>
      </c>
      <c r="W129" s="11" t="s">
        <v>190</v>
      </c>
      <c r="X129" s="11" t="s">
        <v>190</v>
      </c>
      <c r="Y129" s="150" t="s">
        <v>1114</v>
      </c>
      <c r="Z129" s="14" t="s">
        <v>1115</v>
      </c>
      <c r="AA129" s="15"/>
      <c r="AB129" s="11" t="s">
        <v>190</v>
      </c>
      <c r="AC129" s="12" t="s">
        <v>1182</v>
      </c>
      <c r="AD129" s="12"/>
      <c r="AE129" s="13" t="s">
        <v>1042</v>
      </c>
      <c r="AF129" s="14" t="s">
        <v>1046</v>
      </c>
      <c r="AG129" s="12"/>
      <c r="AH129" s="12"/>
    </row>
    <row r="130" spans="2:34" ht="10.25" customHeight="1" x14ac:dyDescent="0.55000000000000004">
      <c r="B130" s="13" t="s">
        <v>47</v>
      </c>
      <c r="C130" s="13">
        <v>121</v>
      </c>
      <c r="D130" s="14" t="s">
        <v>47</v>
      </c>
      <c r="E130" s="14" t="s">
        <v>701</v>
      </c>
      <c r="F130" s="14" t="s">
        <v>702</v>
      </c>
      <c r="G130" s="14" t="s">
        <v>703</v>
      </c>
      <c r="H130" s="11" t="s">
        <v>190</v>
      </c>
      <c r="I130" s="150" t="s">
        <v>43</v>
      </c>
      <c r="J130" s="151" t="s">
        <v>471</v>
      </c>
      <c r="K130" s="157" t="s">
        <v>25</v>
      </c>
      <c r="L130" s="11" t="s">
        <v>190</v>
      </c>
      <c r="M130" s="11" t="s">
        <v>190</v>
      </c>
      <c r="N130" s="14" t="s">
        <v>704</v>
      </c>
      <c r="O130" s="11" t="s">
        <v>190</v>
      </c>
      <c r="P130" s="11" t="s">
        <v>190</v>
      </c>
      <c r="Q130" s="14" t="s">
        <v>37</v>
      </c>
      <c r="R130" s="11" t="s">
        <v>190</v>
      </c>
      <c r="S130" s="11" t="s">
        <v>190</v>
      </c>
      <c r="T130" s="11" t="s">
        <v>190</v>
      </c>
      <c r="U130" s="11" t="s">
        <v>190</v>
      </c>
      <c r="V130" s="11" t="s">
        <v>190</v>
      </c>
      <c r="W130" s="11" t="s">
        <v>190</v>
      </c>
      <c r="X130" s="11" t="s">
        <v>190</v>
      </c>
      <c r="Y130" s="150" t="s">
        <v>198</v>
      </c>
      <c r="Z130" s="11" t="s">
        <v>190</v>
      </c>
      <c r="AA130" s="15"/>
      <c r="AB130" s="11" t="s">
        <v>190</v>
      </c>
      <c r="AC130" s="12" t="s">
        <v>1182</v>
      </c>
      <c r="AD130" s="12"/>
      <c r="AE130" s="13" t="s">
        <v>1042</v>
      </c>
      <c r="AF130" s="14" t="s">
        <v>1046</v>
      </c>
      <c r="AG130" s="12"/>
      <c r="AH130" s="12"/>
    </row>
    <row r="131" spans="2:34" ht="10.25" customHeight="1" x14ac:dyDescent="0.55000000000000004">
      <c r="B131" s="13" t="s">
        <v>49</v>
      </c>
      <c r="C131" s="13">
        <v>122</v>
      </c>
      <c r="D131" s="14" t="s">
        <v>49</v>
      </c>
      <c r="E131" s="14" t="s">
        <v>705</v>
      </c>
      <c r="F131" s="14" t="s">
        <v>706</v>
      </c>
      <c r="G131" s="14" t="s">
        <v>707</v>
      </c>
      <c r="H131" s="11" t="s">
        <v>190</v>
      </c>
      <c r="I131" s="11" t="s">
        <v>190</v>
      </c>
      <c r="J131" s="11" t="s">
        <v>190</v>
      </c>
      <c r="K131" s="157" t="s">
        <v>27</v>
      </c>
      <c r="L131" s="11" t="s">
        <v>190</v>
      </c>
      <c r="M131" s="11" t="s">
        <v>190</v>
      </c>
      <c r="N131" s="11" t="s">
        <v>190</v>
      </c>
      <c r="O131" s="11" t="s">
        <v>190</v>
      </c>
      <c r="P131" s="11" t="s">
        <v>190</v>
      </c>
      <c r="Q131" s="14" t="s">
        <v>52</v>
      </c>
      <c r="R131" s="11" t="s">
        <v>190</v>
      </c>
      <c r="S131" s="14" t="s">
        <v>81</v>
      </c>
      <c r="T131" s="11" t="s">
        <v>190</v>
      </c>
      <c r="U131" s="11" t="s">
        <v>190</v>
      </c>
      <c r="V131" s="11" t="s">
        <v>190</v>
      </c>
      <c r="W131" s="11" t="s">
        <v>190</v>
      </c>
      <c r="X131" s="14" t="s">
        <v>238</v>
      </c>
      <c r="Y131" s="11" t="s">
        <v>190</v>
      </c>
      <c r="Z131" s="150" t="s">
        <v>358</v>
      </c>
      <c r="AA131" s="15"/>
      <c r="AB131" s="11" t="s">
        <v>190</v>
      </c>
      <c r="AC131" s="12"/>
      <c r="AD131" s="12"/>
      <c r="AE131" s="13" t="s">
        <v>1042</v>
      </c>
      <c r="AF131" s="14" t="s">
        <v>1046</v>
      </c>
      <c r="AG131" s="12"/>
      <c r="AH131" s="12"/>
    </row>
    <row r="132" spans="2:34" ht="10.25" customHeight="1" x14ac:dyDescent="0.55000000000000004">
      <c r="B132" s="13" t="s">
        <v>708</v>
      </c>
      <c r="C132" s="13">
        <v>123</v>
      </c>
      <c r="D132" s="14" t="s">
        <v>708</v>
      </c>
      <c r="E132" s="14" t="s">
        <v>709</v>
      </c>
      <c r="F132" s="14" t="s">
        <v>710</v>
      </c>
      <c r="G132" s="14" t="s">
        <v>711</v>
      </c>
      <c r="H132" s="11" t="s">
        <v>190</v>
      </c>
      <c r="I132" s="150" t="s">
        <v>20</v>
      </c>
      <c r="J132" s="151" t="s">
        <v>521</v>
      </c>
      <c r="K132" s="11" t="s">
        <v>190</v>
      </c>
      <c r="L132" s="11" t="s">
        <v>190</v>
      </c>
      <c r="M132" s="11" t="s">
        <v>190</v>
      </c>
      <c r="N132" s="11" t="s">
        <v>190</v>
      </c>
      <c r="O132" s="11" t="s">
        <v>190</v>
      </c>
      <c r="P132" s="11" t="s">
        <v>190</v>
      </c>
      <c r="Q132" s="14" t="s">
        <v>31</v>
      </c>
      <c r="R132" s="11" t="s">
        <v>190</v>
      </c>
      <c r="S132" s="11" t="s">
        <v>190</v>
      </c>
      <c r="T132" s="11" t="s">
        <v>190</v>
      </c>
      <c r="U132" s="11" t="s">
        <v>190</v>
      </c>
      <c r="V132" s="11" t="s">
        <v>190</v>
      </c>
      <c r="W132" s="11" t="s">
        <v>190</v>
      </c>
      <c r="X132" s="14" t="s">
        <v>239</v>
      </c>
      <c r="Y132" s="11" t="s">
        <v>190</v>
      </c>
      <c r="Z132" s="150" t="s">
        <v>966</v>
      </c>
      <c r="AA132" s="15"/>
      <c r="AB132" s="11" t="s">
        <v>190</v>
      </c>
      <c r="AC132" s="12"/>
      <c r="AD132" s="12"/>
      <c r="AE132" s="13" t="s">
        <v>1042</v>
      </c>
      <c r="AF132" s="14" t="s">
        <v>1046</v>
      </c>
      <c r="AG132" s="12"/>
      <c r="AH132" s="12"/>
    </row>
    <row r="133" spans="2:34" ht="10.25" customHeight="1" x14ac:dyDescent="0.55000000000000004">
      <c r="B133" s="13" t="s">
        <v>712</v>
      </c>
      <c r="C133" s="13">
        <v>124</v>
      </c>
      <c r="D133" s="14" t="s">
        <v>712</v>
      </c>
      <c r="E133" s="14" t="s">
        <v>713</v>
      </c>
      <c r="F133" s="14" t="s">
        <v>714</v>
      </c>
      <c r="G133" s="14" t="s">
        <v>715</v>
      </c>
      <c r="H133" s="14" t="s">
        <v>1050</v>
      </c>
      <c r="I133" s="150" t="s">
        <v>22</v>
      </c>
      <c r="J133" s="151" t="s">
        <v>526</v>
      </c>
      <c r="K133" s="11" t="s">
        <v>190</v>
      </c>
      <c r="L133" s="11" t="s">
        <v>190</v>
      </c>
      <c r="M133" s="11" t="s">
        <v>190</v>
      </c>
      <c r="N133" s="11" t="s">
        <v>190</v>
      </c>
      <c r="O133" s="11" t="s">
        <v>190</v>
      </c>
      <c r="P133" s="11" t="s">
        <v>190</v>
      </c>
      <c r="Q133" s="14" t="s">
        <v>41</v>
      </c>
      <c r="R133" s="11" t="s">
        <v>190</v>
      </c>
      <c r="S133" s="11" t="s">
        <v>190</v>
      </c>
      <c r="T133" s="11" t="s">
        <v>190</v>
      </c>
      <c r="U133" s="11" t="s">
        <v>190</v>
      </c>
      <c r="V133" s="11" t="s">
        <v>190</v>
      </c>
      <c r="W133" s="11" t="s">
        <v>190</v>
      </c>
      <c r="X133" s="14" t="s">
        <v>240</v>
      </c>
      <c r="Y133" s="150" t="s">
        <v>199</v>
      </c>
      <c r="Z133" s="11" t="s">
        <v>190</v>
      </c>
      <c r="AA133" s="15"/>
      <c r="AB133" s="11" t="s">
        <v>190</v>
      </c>
      <c r="AC133" s="12"/>
      <c r="AD133" s="12"/>
      <c r="AE133" s="13" t="s">
        <v>1042</v>
      </c>
      <c r="AF133" s="14" t="s">
        <v>1046</v>
      </c>
      <c r="AG133" s="12"/>
      <c r="AH133" s="12"/>
    </row>
    <row r="134" spans="2:34" ht="10.25" customHeight="1" x14ac:dyDescent="0.55000000000000004">
      <c r="B134" s="13" t="s">
        <v>1013</v>
      </c>
      <c r="C134" s="13">
        <v>125</v>
      </c>
      <c r="D134" s="14" t="s">
        <v>51</v>
      </c>
      <c r="E134" s="14" t="s">
        <v>487</v>
      </c>
      <c r="F134" s="14" t="s">
        <v>517</v>
      </c>
      <c r="G134" s="14" t="s">
        <v>716</v>
      </c>
      <c r="H134" s="14" t="s">
        <v>62</v>
      </c>
      <c r="I134" s="150" t="s">
        <v>24</v>
      </c>
      <c r="J134" s="151" t="s">
        <v>531</v>
      </c>
      <c r="K134" s="11" t="s">
        <v>190</v>
      </c>
      <c r="L134" s="11" t="s">
        <v>190</v>
      </c>
      <c r="M134" s="11" t="s">
        <v>190</v>
      </c>
      <c r="N134" s="14" t="s">
        <v>717</v>
      </c>
      <c r="O134" s="14" t="s">
        <v>718</v>
      </c>
      <c r="P134" s="14" t="s">
        <v>971</v>
      </c>
      <c r="Q134" s="11" t="s">
        <v>190</v>
      </c>
      <c r="R134" s="11" t="s">
        <v>190</v>
      </c>
      <c r="S134" s="11" t="s">
        <v>190</v>
      </c>
      <c r="T134" s="11" t="s">
        <v>190</v>
      </c>
      <c r="U134" s="11" t="s">
        <v>190</v>
      </c>
      <c r="V134" s="11" t="s">
        <v>190</v>
      </c>
      <c r="W134" s="11" t="s">
        <v>190</v>
      </c>
      <c r="X134" s="14" t="s">
        <v>241</v>
      </c>
      <c r="Y134" s="150" t="s">
        <v>200</v>
      </c>
      <c r="Z134" s="11" t="s">
        <v>190</v>
      </c>
      <c r="AA134" s="15"/>
      <c r="AB134" s="11" t="s">
        <v>190</v>
      </c>
      <c r="AC134" s="12" t="s">
        <v>1182</v>
      </c>
      <c r="AD134" s="12"/>
      <c r="AE134" s="13" t="s">
        <v>1042</v>
      </c>
      <c r="AF134" s="14" t="s">
        <v>1046</v>
      </c>
      <c r="AG134" s="12"/>
      <c r="AH134" s="12"/>
    </row>
    <row r="135" spans="2:34" ht="10.25" customHeight="1" x14ac:dyDescent="0.55000000000000004">
      <c r="B135" s="13" t="s">
        <v>53</v>
      </c>
      <c r="C135" s="13">
        <v>126</v>
      </c>
      <c r="D135" s="14" t="s">
        <v>53</v>
      </c>
      <c r="E135" s="14" t="s">
        <v>489</v>
      </c>
      <c r="F135" s="14" t="s">
        <v>490</v>
      </c>
      <c r="G135" s="14" t="s">
        <v>719</v>
      </c>
      <c r="H135" s="14" t="s">
        <v>65</v>
      </c>
      <c r="I135" s="11" t="s">
        <v>190</v>
      </c>
      <c r="J135" s="11" t="s">
        <v>190</v>
      </c>
      <c r="K135" s="11" t="s">
        <v>190</v>
      </c>
      <c r="L135" s="11" t="s">
        <v>190</v>
      </c>
      <c r="M135" s="11" t="s">
        <v>190</v>
      </c>
      <c r="N135" s="14" t="s">
        <v>720</v>
      </c>
      <c r="O135" s="14" t="s">
        <v>721</v>
      </c>
      <c r="P135" s="14" t="s">
        <v>972</v>
      </c>
      <c r="Q135" s="11" t="s">
        <v>190</v>
      </c>
      <c r="R135" s="11" t="s">
        <v>190</v>
      </c>
      <c r="S135" s="11" t="s">
        <v>190</v>
      </c>
      <c r="T135" s="11" t="s">
        <v>190</v>
      </c>
      <c r="U135" s="11" t="s">
        <v>190</v>
      </c>
      <c r="V135" s="11" t="s">
        <v>190</v>
      </c>
      <c r="W135" s="11" t="s">
        <v>190</v>
      </c>
      <c r="X135" s="14" t="s">
        <v>242</v>
      </c>
      <c r="Y135" s="150" t="s">
        <v>201</v>
      </c>
      <c r="Z135" s="11" t="s">
        <v>190</v>
      </c>
      <c r="AA135" s="15"/>
      <c r="AB135" s="11" t="s">
        <v>190</v>
      </c>
      <c r="AC135" s="12" t="s">
        <v>1182</v>
      </c>
      <c r="AD135" s="12"/>
      <c r="AE135" s="13" t="s">
        <v>1042</v>
      </c>
      <c r="AF135" s="14" t="s">
        <v>1046</v>
      </c>
      <c r="AG135" s="12"/>
      <c r="AH135" s="12"/>
    </row>
    <row r="136" spans="2:34" ht="10.25" customHeight="1" x14ac:dyDescent="0.55000000000000004">
      <c r="B136" s="13" t="s">
        <v>55</v>
      </c>
      <c r="C136" s="13">
        <v>127</v>
      </c>
      <c r="D136" s="14" t="s">
        <v>55</v>
      </c>
      <c r="E136" s="14" t="s">
        <v>491</v>
      </c>
      <c r="F136" s="14" t="s">
        <v>492</v>
      </c>
      <c r="G136" s="14" t="s">
        <v>722</v>
      </c>
      <c r="H136" s="14" t="s">
        <v>68</v>
      </c>
      <c r="I136" s="11" t="s">
        <v>190</v>
      </c>
      <c r="J136" s="11" t="s">
        <v>190</v>
      </c>
      <c r="K136" s="11" t="s">
        <v>190</v>
      </c>
      <c r="L136" s="11" t="s">
        <v>190</v>
      </c>
      <c r="M136" s="11" t="s">
        <v>190</v>
      </c>
      <c r="N136" s="14" t="s">
        <v>723</v>
      </c>
      <c r="O136" s="14" t="s">
        <v>724</v>
      </c>
      <c r="P136" s="11" t="s">
        <v>190</v>
      </c>
      <c r="Q136" s="14" t="s">
        <v>44</v>
      </c>
      <c r="R136" s="11" t="s">
        <v>190</v>
      </c>
      <c r="S136" s="11" t="s">
        <v>190</v>
      </c>
      <c r="T136" s="11" t="s">
        <v>190</v>
      </c>
      <c r="U136" s="11" t="s">
        <v>190</v>
      </c>
      <c r="V136" s="11" t="s">
        <v>190</v>
      </c>
      <c r="W136" s="11" t="s">
        <v>190</v>
      </c>
      <c r="X136" s="14" t="s">
        <v>893</v>
      </c>
      <c r="Y136" s="150" t="s">
        <v>202</v>
      </c>
      <c r="Z136" s="11" t="s">
        <v>190</v>
      </c>
      <c r="AA136" s="15"/>
      <c r="AB136" s="11" t="s">
        <v>190</v>
      </c>
      <c r="AC136" s="12" t="s">
        <v>1182</v>
      </c>
      <c r="AD136" s="12"/>
      <c r="AE136" s="13" t="s">
        <v>1042</v>
      </c>
      <c r="AF136" s="14" t="s">
        <v>1046</v>
      </c>
      <c r="AG136" s="12"/>
      <c r="AH136" s="12"/>
    </row>
    <row r="137" spans="2:34" ht="10.25" customHeight="1" x14ac:dyDescent="0.55000000000000004">
      <c r="B137" s="13" t="s">
        <v>56</v>
      </c>
      <c r="C137" s="13">
        <v>128</v>
      </c>
      <c r="D137" s="14" t="s">
        <v>56</v>
      </c>
      <c r="E137" s="14" t="s">
        <v>493</v>
      </c>
      <c r="F137" s="14" t="s">
        <v>494</v>
      </c>
      <c r="G137" s="14" t="s">
        <v>725</v>
      </c>
      <c r="H137" s="11" t="s">
        <v>190</v>
      </c>
      <c r="I137" s="11" t="s">
        <v>190</v>
      </c>
      <c r="J137" s="11" t="s">
        <v>190</v>
      </c>
      <c r="K137" s="11" t="s">
        <v>190</v>
      </c>
      <c r="L137" s="11" t="s">
        <v>190</v>
      </c>
      <c r="M137" s="11" t="s">
        <v>190</v>
      </c>
      <c r="N137" s="14" t="s">
        <v>726</v>
      </c>
      <c r="O137" s="14" t="s">
        <v>727</v>
      </c>
      <c r="P137" s="11" t="s">
        <v>190</v>
      </c>
      <c r="Q137" s="14" t="s">
        <v>46</v>
      </c>
      <c r="R137" s="11" t="s">
        <v>190</v>
      </c>
      <c r="S137" s="11" t="s">
        <v>190</v>
      </c>
      <c r="T137" s="11" t="s">
        <v>190</v>
      </c>
      <c r="U137" s="11" t="s">
        <v>190</v>
      </c>
      <c r="V137" s="11" t="s">
        <v>190</v>
      </c>
      <c r="W137" s="11" t="s">
        <v>190</v>
      </c>
      <c r="X137" s="11" t="s">
        <v>190</v>
      </c>
      <c r="Y137" s="150" t="s">
        <v>203</v>
      </c>
      <c r="Z137" s="11" t="s">
        <v>190</v>
      </c>
      <c r="AA137" s="15"/>
      <c r="AB137" s="11" t="s">
        <v>190</v>
      </c>
      <c r="AC137" s="12" t="s">
        <v>1182</v>
      </c>
      <c r="AD137" s="12"/>
      <c r="AE137" s="13" t="s">
        <v>1042</v>
      </c>
      <c r="AF137" s="14" t="s">
        <v>1046</v>
      </c>
      <c r="AG137" s="12"/>
      <c r="AH137" s="12"/>
    </row>
    <row r="138" spans="2:34" ht="10.25" customHeight="1" x14ac:dyDescent="0.55000000000000004">
      <c r="B138" s="18" t="s">
        <v>182</v>
      </c>
      <c r="C138" s="76">
        <v>129</v>
      </c>
      <c r="D138" s="11" t="s">
        <v>190</v>
      </c>
      <c r="E138" s="11" t="s">
        <v>190</v>
      </c>
      <c r="F138" s="11" t="s">
        <v>190</v>
      </c>
      <c r="G138" s="11" t="s">
        <v>190</v>
      </c>
      <c r="H138" s="11" t="s">
        <v>190</v>
      </c>
      <c r="I138" s="11" t="s">
        <v>190</v>
      </c>
      <c r="J138" s="11" t="s">
        <v>190</v>
      </c>
      <c r="K138" s="11" t="s">
        <v>190</v>
      </c>
      <c r="L138" s="11" t="s">
        <v>190</v>
      </c>
      <c r="M138" s="11" t="s">
        <v>190</v>
      </c>
      <c r="N138" s="11" t="s">
        <v>190</v>
      </c>
      <c r="O138" s="11" t="s">
        <v>190</v>
      </c>
      <c r="P138" s="11" t="s">
        <v>190</v>
      </c>
      <c r="Q138" s="11" t="s">
        <v>190</v>
      </c>
      <c r="R138" s="11" t="s">
        <v>190</v>
      </c>
      <c r="S138" s="11" t="s">
        <v>190</v>
      </c>
      <c r="T138" s="11" t="s">
        <v>190</v>
      </c>
      <c r="U138" s="11" t="s">
        <v>190</v>
      </c>
      <c r="V138" s="11" t="s">
        <v>190</v>
      </c>
      <c r="W138" s="11" t="s">
        <v>190</v>
      </c>
      <c r="X138" s="11" t="s">
        <v>190</v>
      </c>
      <c r="Y138" s="11" t="s">
        <v>190</v>
      </c>
      <c r="Z138" s="11" t="s">
        <v>190</v>
      </c>
      <c r="AA138" s="18" t="s">
        <v>182</v>
      </c>
      <c r="AB138" s="11" t="s">
        <v>190</v>
      </c>
      <c r="AC138" s="12"/>
      <c r="AD138" s="12" t="s">
        <v>1033</v>
      </c>
      <c r="AE138" s="13" t="s">
        <v>360</v>
      </c>
      <c r="AF138" s="14" t="s">
        <v>360</v>
      </c>
      <c r="AG138" s="12"/>
      <c r="AH138" s="12"/>
    </row>
    <row r="139" spans="2:34" ht="10.25" customHeight="1" x14ac:dyDescent="0.55000000000000004">
      <c r="B139" s="16" t="s">
        <v>991</v>
      </c>
      <c r="C139" s="76">
        <v>130</v>
      </c>
      <c r="D139" s="11" t="s">
        <v>190</v>
      </c>
      <c r="E139" s="11" t="s">
        <v>190</v>
      </c>
      <c r="F139" s="11" t="s">
        <v>190</v>
      </c>
      <c r="G139" s="11" t="s">
        <v>190</v>
      </c>
      <c r="H139" s="11" t="s">
        <v>190</v>
      </c>
      <c r="I139" s="11" t="s">
        <v>190</v>
      </c>
      <c r="J139" s="11" t="s">
        <v>190</v>
      </c>
      <c r="K139" s="11" t="s">
        <v>190</v>
      </c>
      <c r="L139" s="11" t="s">
        <v>190</v>
      </c>
      <c r="M139" s="11" t="s">
        <v>190</v>
      </c>
      <c r="N139" s="11" t="s">
        <v>190</v>
      </c>
      <c r="O139" s="11" t="s">
        <v>190</v>
      </c>
      <c r="P139" s="11" t="s">
        <v>190</v>
      </c>
      <c r="Q139" s="11" t="s">
        <v>190</v>
      </c>
      <c r="R139" s="11" t="s">
        <v>190</v>
      </c>
      <c r="S139" s="11" t="s">
        <v>190</v>
      </c>
      <c r="T139" s="11" t="s">
        <v>190</v>
      </c>
      <c r="U139" s="11" t="s">
        <v>190</v>
      </c>
      <c r="V139" s="11" t="s">
        <v>190</v>
      </c>
      <c r="W139" s="11" t="s">
        <v>190</v>
      </c>
      <c r="X139" s="11" t="s">
        <v>190</v>
      </c>
      <c r="Y139" s="11" t="s">
        <v>190</v>
      </c>
      <c r="Z139" s="11" t="s">
        <v>190</v>
      </c>
      <c r="AA139" s="16" t="s">
        <v>991</v>
      </c>
      <c r="AB139" s="11" t="s">
        <v>190</v>
      </c>
      <c r="AC139" s="12"/>
      <c r="AD139" s="12" t="s">
        <v>1034</v>
      </c>
      <c r="AE139" s="13" t="s">
        <v>360</v>
      </c>
      <c r="AF139" s="14" t="s">
        <v>360</v>
      </c>
      <c r="AG139" s="12"/>
      <c r="AH139" s="12"/>
    </row>
    <row r="140" spans="2:34" ht="10.25" customHeight="1" x14ac:dyDescent="0.55000000000000004">
      <c r="B140" s="9" t="s">
        <v>992</v>
      </c>
      <c r="C140" s="76">
        <v>131</v>
      </c>
      <c r="D140" s="11" t="s">
        <v>190</v>
      </c>
      <c r="E140" s="11" t="s">
        <v>190</v>
      </c>
      <c r="F140" s="11" t="s">
        <v>190</v>
      </c>
      <c r="G140" s="11" t="s">
        <v>190</v>
      </c>
      <c r="H140" s="11" t="s">
        <v>190</v>
      </c>
      <c r="I140" s="11" t="s">
        <v>190</v>
      </c>
      <c r="J140" s="11" t="s">
        <v>190</v>
      </c>
      <c r="K140" s="11" t="s">
        <v>190</v>
      </c>
      <c r="L140" s="11" t="s">
        <v>190</v>
      </c>
      <c r="M140" s="11" t="s">
        <v>190</v>
      </c>
      <c r="N140" s="11" t="s">
        <v>190</v>
      </c>
      <c r="O140" s="11" t="s">
        <v>190</v>
      </c>
      <c r="P140" s="11" t="s">
        <v>190</v>
      </c>
      <c r="Q140" s="11" t="s">
        <v>190</v>
      </c>
      <c r="R140" s="11" t="s">
        <v>190</v>
      </c>
      <c r="S140" s="11" t="s">
        <v>190</v>
      </c>
      <c r="T140" s="11" t="s">
        <v>190</v>
      </c>
      <c r="U140" s="11" t="s">
        <v>190</v>
      </c>
      <c r="V140" s="11" t="s">
        <v>190</v>
      </c>
      <c r="W140" s="11" t="s">
        <v>190</v>
      </c>
      <c r="X140" s="11" t="s">
        <v>190</v>
      </c>
      <c r="Y140" s="11" t="s">
        <v>190</v>
      </c>
      <c r="Z140" s="11" t="s">
        <v>190</v>
      </c>
      <c r="AA140" s="9" t="s">
        <v>992</v>
      </c>
      <c r="AB140" s="11" t="s">
        <v>190</v>
      </c>
      <c r="AC140" s="12"/>
      <c r="AD140" s="12" t="s">
        <v>1035</v>
      </c>
      <c r="AE140" s="13" t="s">
        <v>360</v>
      </c>
      <c r="AF140" s="14" t="s">
        <v>360</v>
      </c>
      <c r="AG140" s="12"/>
      <c r="AH140" s="12"/>
    </row>
    <row r="141" spans="2:34" ht="10.25" customHeight="1" x14ac:dyDescent="0.55000000000000004">
      <c r="B141" s="16" t="s">
        <v>1036</v>
      </c>
      <c r="C141" s="10">
        <v>132</v>
      </c>
      <c r="D141" s="11" t="s">
        <v>190</v>
      </c>
      <c r="E141" s="11" t="s">
        <v>190</v>
      </c>
      <c r="F141" s="11" t="s">
        <v>190</v>
      </c>
      <c r="G141" s="11" t="s">
        <v>190</v>
      </c>
      <c r="H141" s="11" t="s">
        <v>190</v>
      </c>
      <c r="I141" s="11" t="s">
        <v>190</v>
      </c>
      <c r="J141" s="11" t="s">
        <v>190</v>
      </c>
      <c r="K141" s="11" t="s">
        <v>190</v>
      </c>
      <c r="L141" s="11" t="s">
        <v>190</v>
      </c>
      <c r="M141" s="11" t="s">
        <v>190</v>
      </c>
      <c r="N141" s="11" t="s">
        <v>190</v>
      </c>
      <c r="O141" s="11" t="s">
        <v>190</v>
      </c>
      <c r="P141" s="11" t="s">
        <v>190</v>
      </c>
      <c r="Q141" s="11" t="s">
        <v>190</v>
      </c>
      <c r="R141" s="11" t="s">
        <v>190</v>
      </c>
      <c r="S141" s="11" t="s">
        <v>190</v>
      </c>
      <c r="T141" s="11" t="s">
        <v>190</v>
      </c>
      <c r="U141" s="11" t="s">
        <v>190</v>
      </c>
      <c r="V141" s="11" t="s">
        <v>190</v>
      </c>
      <c r="W141" s="11" t="s">
        <v>190</v>
      </c>
      <c r="X141" s="11" t="s">
        <v>190</v>
      </c>
      <c r="Y141" s="11" t="s">
        <v>190</v>
      </c>
      <c r="Z141" s="11" t="s">
        <v>190</v>
      </c>
      <c r="AA141" s="16" t="s">
        <v>1036</v>
      </c>
      <c r="AB141" s="11" t="s">
        <v>190</v>
      </c>
      <c r="AC141" s="12"/>
      <c r="AD141" s="12" t="s">
        <v>1037</v>
      </c>
      <c r="AE141" s="13" t="s">
        <v>360</v>
      </c>
      <c r="AF141" s="14" t="s">
        <v>360</v>
      </c>
      <c r="AG141" s="12"/>
      <c r="AH141" s="12"/>
    </row>
    <row r="142" spans="2:34" ht="10.25" customHeight="1" x14ac:dyDescent="0.55000000000000004">
      <c r="B142" s="9" t="s">
        <v>179</v>
      </c>
      <c r="C142" s="10">
        <v>133</v>
      </c>
      <c r="D142" s="11" t="s">
        <v>190</v>
      </c>
      <c r="E142" s="11" t="s">
        <v>190</v>
      </c>
      <c r="F142" s="11" t="s">
        <v>190</v>
      </c>
      <c r="G142" s="11" t="s">
        <v>190</v>
      </c>
      <c r="H142" s="11" t="s">
        <v>190</v>
      </c>
      <c r="I142" s="11" t="s">
        <v>190</v>
      </c>
      <c r="J142" s="11" t="s">
        <v>190</v>
      </c>
      <c r="K142" s="11" t="s">
        <v>190</v>
      </c>
      <c r="L142" s="11" t="s">
        <v>190</v>
      </c>
      <c r="M142" s="11" t="s">
        <v>190</v>
      </c>
      <c r="N142" s="11" t="s">
        <v>190</v>
      </c>
      <c r="O142" s="11" t="s">
        <v>190</v>
      </c>
      <c r="P142" s="11" t="s">
        <v>190</v>
      </c>
      <c r="Q142" s="11" t="s">
        <v>190</v>
      </c>
      <c r="R142" s="11" t="s">
        <v>190</v>
      </c>
      <c r="S142" s="11" t="s">
        <v>190</v>
      </c>
      <c r="T142" s="11" t="s">
        <v>190</v>
      </c>
      <c r="U142" s="11" t="s">
        <v>190</v>
      </c>
      <c r="V142" s="11" t="s">
        <v>190</v>
      </c>
      <c r="W142" s="11" t="s">
        <v>190</v>
      </c>
      <c r="X142" s="11" t="s">
        <v>190</v>
      </c>
      <c r="Y142" s="11" t="s">
        <v>190</v>
      </c>
      <c r="Z142" s="11" t="s">
        <v>190</v>
      </c>
      <c r="AA142" s="9" t="s">
        <v>179</v>
      </c>
      <c r="AB142" s="11" t="s">
        <v>190</v>
      </c>
      <c r="AC142" s="12"/>
      <c r="AD142" s="12" t="s">
        <v>1038</v>
      </c>
      <c r="AE142" s="13" t="s">
        <v>360</v>
      </c>
      <c r="AF142" s="14" t="s">
        <v>360</v>
      </c>
      <c r="AG142" s="12"/>
      <c r="AH142" s="12"/>
    </row>
    <row r="143" spans="2:34" ht="10.25" customHeight="1" x14ac:dyDescent="0.55000000000000004">
      <c r="B143" s="13" t="s">
        <v>1014</v>
      </c>
      <c r="C143" s="13">
        <v>134</v>
      </c>
      <c r="D143" s="14" t="s">
        <v>57</v>
      </c>
      <c r="E143" s="14" t="s">
        <v>495</v>
      </c>
      <c r="F143" s="14" t="s">
        <v>496</v>
      </c>
      <c r="G143" s="14" t="s">
        <v>728</v>
      </c>
      <c r="H143" s="11" t="s">
        <v>190</v>
      </c>
      <c r="I143" s="11" t="s">
        <v>190</v>
      </c>
      <c r="J143" s="11" t="s">
        <v>190</v>
      </c>
      <c r="K143" s="11" t="s">
        <v>190</v>
      </c>
      <c r="L143" s="11" t="s">
        <v>190</v>
      </c>
      <c r="M143" s="11" t="s">
        <v>190</v>
      </c>
      <c r="N143" s="11" t="s">
        <v>190</v>
      </c>
      <c r="O143" s="11" t="s">
        <v>190</v>
      </c>
      <c r="P143" s="11" t="s">
        <v>190</v>
      </c>
      <c r="Q143" s="11" t="s">
        <v>190</v>
      </c>
      <c r="R143" s="11" t="s">
        <v>190</v>
      </c>
      <c r="S143" s="11" t="s">
        <v>190</v>
      </c>
      <c r="T143" s="11" t="s">
        <v>190</v>
      </c>
      <c r="U143" s="11" t="s">
        <v>190</v>
      </c>
      <c r="V143" s="11" t="s">
        <v>190</v>
      </c>
      <c r="W143" s="11" t="s">
        <v>190</v>
      </c>
      <c r="X143" s="11" t="s">
        <v>190</v>
      </c>
      <c r="Y143" s="150" t="s">
        <v>204</v>
      </c>
      <c r="Z143" s="11" t="s">
        <v>190</v>
      </c>
      <c r="AA143" s="15"/>
      <c r="AB143" s="11" t="s">
        <v>190</v>
      </c>
      <c r="AC143" s="12"/>
      <c r="AD143" s="12"/>
      <c r="AE143" s="13" t="s">
        <v>1042</v>
      </c>
      <c r="AF143" s="14" t="s">
        <v>1046</v>
      </c>
      <c r="AG143" s="12"/>
      <c r="AH143" s="12"/>
    </row>
    <row r="144" spans="2:34" ht="10.25" customHeight="1" x14ac:dyDescent="0.55000000000000004">
      <c r="B144" s="13" t="s">
        <v>58</v>
      </c>
      <c r="C144" s="13">
        <v>135</v>
      </c>
      <c r="D144" s="14" t="s">
        <v>58</v>
      </c>
      <c r="E144" s="14" t="s">
        <v>499</v>
      </c>
      <c r="F144" s="14" t="s">
        <v>500</v>
      </c>
      <c r="G144" s="14" t="s">
        <v>729</v>
      </c>
      <c r="H144" s="11" t="s">
        <v>190</v>
      </c>
      <c r="I144" s="11" t="s">
        <v>190</v>
      </c>
      <c r="J144" s="11" t="s">
        <v>190</v>
      </c>
      <c r="K144" s="11" t="s">
        <v>190</v>
      </c>
      <c r="L144" s="11" t="s">
        <v>190</v>
      </c>
      <c r="M144" s="11" t="s">
        <v>190</v>
      </c>
      <c r="N144" s="11" t="s">
        <v>190</v>
      </c>
      <c r="O144" s="11" t="s">
        <v>190</v>
      </c>
      <c r="P144" s="11" t="s">
        <v>190</v>
      </c>
      <c r="Q144" s="11" t="s">
        <v>190</v>
      </c>
      <c r="R144" s="11" t="s">
        <v>190</v>
      </c>
      <c r="S144" s="11" t="s">
        <v>190</v>
      </c>
      <c r="T144" s="11" t="s">
        <v>190</v>
      </c>
      <c r="U144" s="11" t="s">
        <v>190</v>
      </c>
      <c r="V144" s="11" t="s">
        <v>190</v>
      </c>
      <c r="W144" s="11" t="s">
        <v>190</v>
      </c>
      <c r="X144" s="11" t="s">
        <v>190</v>
      </c>
      <c r="Y144" s="150" t="s">
        <v>205</v>
      </c>
      <c r="Z144" s="11" t="s">
        <v>190</v>
      </c>
      <c r="AA144" s="15"/>
      <c r="AB144" s="11" t="s">
        <v>190</v>
      </c>
      <c r="AC144" s="12"/>
      <c r="AD144" s="12"/>
      <c r="AE144" s="13" t="s">
        <v>1042</v>
      </c>
      <c r="AF144" s="14" t="s">
        <v>1046</v>
      </c>
      <c r="AG144" s="12"/>
      <c r="AH144" s="12"/>
    </row>
    <row r="145" spans="2:34" ht="10.25" customHeight="1" x14ac:dyDescent="0.55000000000000004">
      <c r="B145" s="13" t="s">
        <v>1015</v>
      </c>
      <c r="C145" s="13">
        <v>136</v>
      </c>
      <c r="D145" s="14" t="s">
        <v>59</v>
      </c>
      <c r="E145" s="14" t="s">
        <v>504</v>
      </c>
      <c r="F145" s="14" t="s">
        <v>505</v>
      </c>
      <c r="G145" s="14" t="s">
        <v>730</v>
      </c>
      <c r="H145" s="11" t="s">
        <v>190</v>
      </c>
      <c r="I145" s="11" t="s">
        <v>190</v>
      </c>
      <c r="J145" s="11" t="s">
        <v>190</v>
      </c>
      <c r="K145" s="150" t="s">
        <v>130</v>
      </c>
      <c r="L145" s="11" t="s">
        <v>190</v>
      </c>
      <c r="M145" s="11" t="s">
        <v>190</v>
      </c>
      <c r="N145" s="11" t="s">
        <v>190</v>
      </c>
      <c r="O145" s="11" t="s">
        <v>190</v>
      </c>
      <c r="P145" s="11" t="s">
        <v>190</v>
      </c>
      <c r="Q145" s="11" t="s">
        <v>190</v>
      </c>
      <c r="R145" s="11" t="s">
        <v>190</v>
      </c>
      <c r="S145" s="11" t="s">
        <v>190</v>
      </c>
      <c r="T145" s="11" t="s">
        <v>190</v>
      </c>
      <c r="U145" s="11" t="s">
        <v>190</v>
      </c>
      <c r="V145" s="11" t="s">
        <v>190</v>
      </c>
      <c r="W145" s="11" t="s">
        <v>190</v>
      </c>
      <c r="X145" s="11" t="s">
        <v>190</v>
      </c>
      <c r="Y145" s="150" t="s">
        <v>206</v>
      </c>
      <c r="Z145" s="11" t="s">
        <v>190</v>
      </c>
      <c r="AA145" s="15"/>
      <c r="AB145" s="11" t="s">
        <v>190</v>
      </c>
      <c r="AC145" s="12" t="s">
        <v>1182</v>
      </c>
      <c r="AD145" s="12"/>
      <c r="AE145" s="13" t="s">
        <v>1042</v>
      </c>
      <c r="AF145" s="14" t="s">
        <v>1046</v>
      </c>
      <c r="AG145" s="12"/>
      <c r="AH145" s="12"/>
    </row>
    <row r="146" spans="2:34" ht="10.25" customHeight="1" x14ac:dyDescent="0.55000000000000004">
      <c r="B146" s="13" t="s">
        <v>61</v>
      </c>
      <c r="C146" s="13">
        <v>137</v>
      </c>
      <c r="D146" s="14" t="s">
        <v>61</v>
      </c>
      <c r="E146" s="14" t="s">
        <v>509</v>
      </c>
      <c r="F146" s="14" t="s">
        <v>510</v>
      </c>
      <c r="G146" s="14" t="s">
        <v>731</v>
      </c>
      <c r="H146" s="11" t="s">
        <v>190</v>
      </c>
      <c r="I146" s="11" t="s">
        <v>190</v>
      </c>
      <c r="J146" s="11" t="s">
        <v>190</v>
      </c>
      <c r="K146" s="150" t="s">
        <v>132</v>
      </c>
      <c r="L146" s="11" t="s">
        <v>190</v>
      </c>
      <c r="M146" s="11" t="s">
        <v>190</v>
      </c>
      <c r="N146" s="11" t="s">
        <v>190</v>
      </c>
      <c r="O146" s="11" t="s">
        <v>190</v>
      </c>
      <c r="P146" s="11" t="s">
        <v>190</v>
      </c>
      <c r="Q146" s="11" t="s">
        <v>190</v>
      </c>
      <c r="R146" s="11" t="s">
        <v>190</v>
      </c>
      <c r="S146" s="11" t="s">
        <v>190</v>
      </c>
      <c r="T146" s="11" t="s">
        <v>190</v>
      </c>
      <c r="U146" s="11" t="s">
        <v>190</v>
      </c>
      <c r="V146" s="11" t="s">
        <v>190</v>
      </c>
      <c r="W146" s="11" t="s">
        <v>190</v>
      </c>
      <c r="X146" s="11" t="s">
        <v>190</v>
      </c>
      <c r="Y146" s="150" t="s">
        <v>207</v>
      </c>
      <c r="Z146" s="11" t="s">
        <v>190</v>
      </c>
      <c r="AA146" s="15"/>
      <c r="AB146" s="11" t="s">
        <v>190</v>
      </c>
      <c r="AC146" s="12" t="s">
        <v>1182</v>
      </c>
      <c r="AD146" s="12"/>
      <c r="AE146" s="13" t="s">
        <v>1042</v>
      </c>
      <c r="AF146" s="14" t="s">
        <v>1046</v>
      </c>
      <c r="AG146" s="12"/>
      <c r="AH146" s="12"/>
    </row>
    <row r="147" spans="2:34" ht="10.25" customHeight="1" x14ac:dyDescent="0.55000000000000004">
      <c r="B147" s="13" t="s">
        <v>64</v>
      </c>
      <c r="C147" s="13">
        <v>138</v>
      </c>
      <c r="D147" s="14" t="s">
        <v>64</v>
      </c>
      <c r="E147" s="14" t="s">
        <v>513</v>
      </c>
      <c r="F147" s="14" t="s">
        <v>514</v>
      </c>
      <c r="G147" s="14" t="s">
        <v>732</v>
      </c>
      <c r="H147" s="11" t="s">
        <v>190</v>
      </c>
      <c r="I147" s="11" t="s">
        <v>190</v>
      </c>
      <c r="J147" s="11" t="s">
        <v>190</v>
      </c>
      <c r="K147" s="150" t="s">
        <v>150</v>
      </c>
      <c r="L147" s="11" t="s">
        <v>190</v>
      </c>
      <c r="M147" s="11" t="s">
        <v>190</v>
      </c>
      <c r="N147" s="11" t="s">
        <v>190</v>
      </c>
      <c r="O147" s="11" t="s">
        <v>190</v>
      </c>
      <c r="P147" s="11" t="s">
        <v>190</v>
      </c>
      <c r="Q147" s="11" t="s">
        <v>190</v>
      </c>
      <c r="R147" s="11" t="s">
        <v>190</v>
      </c>
      <c r="S147" s="11" t="s">
        <v>190</v>
      </c>
      <c r="T147" s="11" t="s">
        <v>190</v>
      </c>
      <c r="U147" s="11" t="s">
        <v>190</v>
      </c>
      <c r="V147" s="11" t="s">
        <v>190</v>
      </c>
      <c r="W147" s="11" t="s">
        <v>190</v>
      </c>
      <c r="X147" s="11" t="s">
        <v>190</v>
      </c>
      <c r="Y147" s="150" t="s">
        <v>208</v>
      </c>
      <c r="Z147" s="11" t="s">
        <v>190</v>
      </c>
      <c r="AA147" s="15"/>
      <c r="AB147" s="11" t="s">
        <v>190</v>
      </c>
      <c r="AC147" s="12" t="s">
        <v>1182</v>
      </c>
      <c r="AD147" s="12"/>
      <c r="AE147" s="13" t="s">
        <v>1042</v>
      </c>
      <c r="AF147" s="14" t="s">
        <v>1046</v>
      </c>
      <c r="AG147" s="12"/>
      <c r="AH147" s="12"/>
    </row>
    <row r="148" spans="2:34" ht="10.25" customHeight="1" x14ac:dyDescent="0.55000000000000004">
      <c r="B148" s="13" t="s">
        <v>67</v>
      </c>
      <c r="C148" s="13">
        <v>139</v>
      </c>
      <c r="D148" s="14" t="s">
        <v>67</v>
      </c>
      <c r="E148" s="14" t="s">
        <v>515</v>
      </c>
      <c r="F148" s="14" t="s">
        <v>516</v>
      </c>
      <c r="G148" s="14" t="s">
        <v>733</v>
      </c>
      <c r="H148" s="11" t="s">
        <v>190</v>
      </c>
      <c r="I148" s="11" t="s">
        <v>190</v>
      </c>
      <c r="J148" s="11" t="s">
        <v>190</v>
      </c>
      <c r="K148" s="150" t="s">
        <v>152</v>
      </c>
      <c r="L148" s="11" t="s">
        <v>190</v>
      </c>
      <c r="M148" s="11" t="s">
        <v>190</v>
      </c>
      <c r="N148" s="11" t="s">
        <v>190</v>
      </c>
      <c r="O148" s="11" t="s">
        <v>190</v>
      </c>
      <c r="P148" s="11" t="s">
        <v>190</v>
      </c>
      <c r="Q148" s="11" t="s">
        <v>190</v>
      </c>
      <c r="R148" s="11" t="s">
        <v>190</v>
      </c>
      <c r="S148" s="11" t="s">
        <v>190</v>
      </c>
      <c r="T148" s="11" t="s">
        <v>190</v>
      </c>
      <c r="U148" s="11" t="s">
        <v>190</v>
      </c>
      <c r="V148" s="11" t="s">
        <v>190</v>
      </c>
      <c r="W148" s="11" t="s">
        <v>190</v>
      </c>
      <c r="X148" s="11" t="s">
        <v>190</v>
      </c>
      <c r="Y148" s="150" t="s">
        <v>209</v>
      </c>
      <c r="Z148" s="11" t="s">
        <v>190</v>
      </c>
      <c r="AA148" s="15"/>
      <c r="AB148" s="11" t="s">
        <v>190</v>
      </c>
      <c r="AC148" s="12" t="s">
        <v>1182</v>
      </c>
      <c r="AD148" s="12"/>
      <c r="AE148" s="13" t="s">
        <v>1042</v>
      </c>
      <c r="AF148" s="14" t="s">
        <v>1046</v>
      </c>
      <c r="AG148" s="12"/>
      <c r="AH148" s="12"/>
    </row>
    <row r="149" spans="2:34" ht="10.25" customHeight="1" x14ac:dyDescent="0.55000000000000004">
      <c r="B149" s="13" t="s">
        <v>70</v>
      </c>
      <c r="C149" s="13">
        <v>140</v>
      </c>
      <c r="D149" s="14" t="s">
        <v>70</v>
      </c>
      <c r="E149" s="14" t="s">
        <v>419</v>
      </c>
      <c r="F149" s="14" t="s">
        <v>412</v>
      </c>
      <c r="G149" s="11" t="s">
        <v>190</v>
      </c>
      <c r="H149" s="11" t="s">
        <v>190</v>
      </c>
      <c r="I149" s="14" t="s">
        <v>22</v>
      </c>
      <c r="J149" s="153" t="s">
        <v>531</v>
      </c>
      <c r="K149" s="11" t="s">
        <v>190</v>
      </c>
      <c r="L149" s="11" t="s">
        <v>190</v>
      </c>
      <c r="M149" s="11" t="s">
        <v>190</v>
      </c>
      <c r="N149" s="11" t="s">
        <v>190</v>
      </c>
      <c r="O149" s="11" t="s">
        <v>190</v>
      </c>
      <c r="P149" s="11" t="s">
        <v>190</v>
      </c>
      <c r="Q149" s="14" t="s">
        <v>48</v>
      </c>
      <c r="R149" s="11" t="s">
        <v>190</v>
      </c>
      <c r="S149" s="11" t="s">
        <v>190</v>
      </c>
      <c r="T149" s="11" t="s">
        <v>190</v>
      </c>
      <c r="U149" s="11" t="s">
        <v>190</v>
      </c>
      <c r="V149" s="11" t="s">
        <v>190</v>
      </c>
      <c r="W149" s="11" t="s">
        <v>190</v>
      </c>
      <c r="X149" s="11" t="s">
        <v>190</v>
      </c>
      <c r="Y149" s="150" t="s">
        <v>210</v>
      </c>
      <c r="Z149" s="11" t="s">
        <v>190</v>
      </c>
      <c r="AA149" s="15"/>
      <c r="AB149" s="11" t="s">
        <v>190</v>
      </c>
      <c r="AC149" s="12"/>
      <c r="AD149" s="12"/>
      <c r="AE149" s="13" t="s">
        <v>1042</v>
      </c>
      <c r="AF149" s="14" t="s">
        <v>1046</v>
      </c>
      <c r="AG149" s="12"/>
      <c r="AH149" s="12"/>
    </row>
    <row r="150" spans="2:34" ht="10.25" customHeight="1" x14ac:dyDescent="0.55000000000000004">
      <c r="B150" s="13" t="s">
        <v>734</v>
      </c>
      <c r="C150" s="13">
        <v>141</v>
      </c>
      <c r="D150" s="14" t="s">
        <v>734</v>
      </c>
      <c r="E150" s="14" t="s">
        <v>414</v>
      </c>
      <c r="F150" s="14" t="s">
        <v>426</v>
      </c>
      <c r="G150" s="11" t="s">
        <v>190</v>
      </c>
      <c r="H150" s="11" t="s">
        <v>190</v>
      </c>
      <c r="I150" s="150" t="s">
        <v>20</v>
      </c>
      <c r="J150" s="151" t="s">
        <v>521</v>
      </c>
      <c r="K150" s="11" t="s">
        <v>190</v>
      </c>
      <c r="L150" s="11" t="s">
        <v>190</v>
      </c>
      <c r="M150" s="11" t="s">
        <v>190</v>
      </c>
      <c r="N150" s="11" t="s">
        <v>190</v>
      </c>
      <c r="O150" s="11" t="s">
        <v>190</v>
      </c>
      <c r="P150" s="11" t="s">
        <v>190</v>
      </c>
      <c r="Q150" s="14" t="s">
        <v>50</v>
      </c>
      <c r="R150" s="11" t="s">
        <v>190</v>
      </c>
      <c r="S150" s="11" t="s">
        <v>190</v>
      </c>
      <c r="T150" s="11" t="s">
        <v>190</v>
      </c>
      <c r="U150" s="11" t="s">
        <v>190</v>
      </c>
      <c r="V150" s="11" t="s">
        <v>190</v>
      </c>
      <c r="W150" s="11" t="s">
        <v>190</v>
      </c>
      <c r="X150" s="11" t="s">
        <v>190</v>
      </c>
      <c r="Y150" s="150" t="s">
        <v>211</v>
      </c>
      <c r="Z150" s="11" t="s">
        <v>190</v>
      </c>
      <c r="AA150" s="15"/>
      <c r="AB150" s="11" t="s">
        <v>190</v>
      </c>
      <c r="AC150" s="12"/>
      <c r="AD150" s="12"/>
      <c r="AE150" s="13" t="s">
        <v>1042</v>
      </c>
      <c r="AF150" s="14" t="s">
        <v>1046</v>
      </c>
      <c r="AG150" s="12"/>
      <c r="AH150" s="12"/>
    </row>
    <row r="151" spans="2:34" ht="10.25" customHeight="1" x14ac:dyDescent="0.55000000000000004">
      <c r="B151" s="13" t="s">
        <v>735</v>
      </c>
      <c r="C151" s="13">
        <v>142</v>
      </c>
      <c r="D151" s="14" t="s">
        <v>735</v>
      </c>
      <c r="E151" s="14" t="s">
        <v>411</v>
      </c>
      <c r="F151" s="14" t="s">
        <v>420</v>
      </c>
      <c r="G151" s="11" t="s">
        <v>190</v>
      </c>
      <c r="H151" s="11" t="s">
        <v>190</v>
      </c>
      <c r="I151" s="150" t="s">
        <v>24</v>
      </c>
      <c r="J151" s="151" t="s">
        <v>526</v>
      </c>
      <c r="K151" s="11" t="s">
        <v>190</v>
      </c>
      <c r="L151" s="11" t="s">
        <v>190</v>
      </c>
      <c r="M151" s="11" t="s">
        <v>190</v>
      </c>
      <c r="N151" s="11" t="s">
        <v>190</v>
      </c>
      <c r="O151" s="11" t="s">
        <v>190</v>
      </c>
      <c r="P151" s="11" t="s">
        <v>190</v>
      </c>
      <c r="Q151" s="14" t="s">
        <v>85</v>
      </c>
      <c r="R151" s="11" t="s">
        <v>190</v>
      </c>
      <c r="S151" s="11" t="s">
        <v>190</v>
      </c>
      <c r="T151" s="11" t="s">
        <v>190</v>
      </c>
      <c r="U151" s="11" t="s">
        <v>190</v>
      </c>
      <c r="V151" s="11" t="s">
        <v>190</v>
      </c>
      <c r="W151" s="11" t="s">
        <v>190</v>
      </c>
      <c r="X151" s="11" t="s">
        <v>190</v>
      </c>
      <c r="Y151" s="150" t="s">
        <v>212</v>
      </c>
      <c r="Z151" s="11" t="s">
        <v>190</v>
      </c>
      <c r="AA151" s="15"/>
      <c r="AB151" s="11" t="s">
        <v>190</v>
      </c>
      <c r="AC151" s="12"/>
      <c r="AD151" s="12"/>
      <c r="AE151" s="13" t="s">
        <v>1042</v>
      </c>
      <c r="AF151" s="14" t="s">
        <v>1046</v>
      </c>
      <c r="AG151" s="12"/>
      <c r="AH151" s="12"/>
    </row>
    <row r="152" spans="2:34" ht="10.25" customHeight="1" x14ac:dyDescent="0.55000000000000004">
      <c r="B152" s="13" t="s">
        <v>736</v>
      </c>
      <c r="C152" s="13">
        <v>143</v>
      </c>
      <c r="D152" s="14" t="s">
        <v>736</v>
      </c>
      <c r="E152" s="14" t="s">
        <v>407</v>
      </c>
      <c r="F152" s="14" t="s">
        <v>415</v>
      </c>
      <c r="G152" s="11" t="s">
        <v>190</v>
      </c>
      <c r="H152" s="11" t="s">
        <v>190</v>
      </c>
      <c r="I152" s="11" t="s">
        <v>190</v>
      </c>
      <c r="J152" s="11" t="s">
        <v>190</v>
      </c>
      <c r="K152" s="11" t="s">
        <v>190</v>
      </c>
      <c r="L152" s="11" t="s">
        <v>190</v>
      </c>
      <c r="M152" s="11" t="s">
        <v>190</v>
      </c>
      <c r="N152" s="11" t="s">
        <v>190</v>
      </c>
      <c r="O152" s="11" t="s">
        <v>190</v>
      </c>
      <c r="P152" s="11" t="s">
        <v>190</v>
      </c>
      <c r="Q152" s="14" t="s">
        <v>87</v>
      </c>
      <c r="R152" s="11" t="s">
        <v>190</v>
      </c>
      <c r="S152" s="11" t="s">
        <v>190</v>
      </c>
      <c r="T152" s="11" t="s">
        <v>190</v>
      </c>
      <c r="U152" s="11" t="s">
        <v>190</v>
      </c>
      <c r="V152" s="11" t="s">
        <v>190</v>
      </c>
      <c r="W152" s="11" t="s">
        <v>190</v>
      </c>
      <c r="X152" s="11" t="s">
        <v>190</v>
      </c>
      <c r="Y152" s="150" t="s">
        <v>213</v>
      </c>
      <c r="Z152" s="11" t="s">
        <v>190</v>
      </c>
      <c r="AA152" s="15"/>
      <c r="AB152" s="11" t="s">
        <v>190</v>
      </c>
      <c r="AC152" s="12"/>
      <c r="AD152" s="12"/>
      <c r="AE152" s="13" t="s">
        <v>1042</v>
      </c>
      <c r="AF152" s="14" t="s">
        <v>1046</v>
      </c>
      <c r="AG152" s="12"/>
      <c r="AH152" s="12"/>
    </row>
    <row r="153" spans="2:34" ht="10.25" customHeight="1" x14ac:dyDescent="0.55000000000000004">
      <c r="B153" s="9" t="s">
        <v>993</v>
      </c>
      <c r="C153" s="76">
        <v>144</v>
      </c>
      <c r="D153" s="11" t="s">
        <v>190</v>
      </c>
      <c r="E153" s="11" t="s">
        <v>190</v>
      </c>
      <c r="F153" s="11" t="s">
        <v>190</v>
      </c>
      <c r="G153" s="11" t="s">
        <v>190</v>
      </c>
      <c r="H153" s="11" t="s">
        <v>190</v>
      </c>
      <c r="I153" s="11" t="s">
        <v>190</v>
      </c>
      <c r="J153" s="11" t="s">
        <v>190</v>
      </c>
      <c r="K153" s="11" t="s">
        <v>190</v>
      </c>
      <c r="L153" s="11" t="s">
        <v>190</v>
      </c>
      <c r="M153" s="11" t="s">
        <v>190</v>
      </c>
      <c r="N153" s="11" t="s">
        <v>190</v>
      </c>
      <c r="O153" s="11" t="s">
        <v>190</v>
      </c>
      <c r="P153" s="11" t="s">
        <v>190</v>
      </c>
      <c r="Q153" s="11" t="s">
        <v>190</v>
      </c>
      <c r="R153" s="11" t="s">
        <v>190</v>
      </c>
      <c r="S153" s="11" t="s">
        <v>190</v>
      </c>
      <c r="T153" s="11" t="s">
        <v>190</v>
      </c>
      <c r="U153" s="11" t="s">
        <v>190</v>
      </c>
      <c r="V153" s="11" t="s">
        <v>190</v>
      </c>
      <c r="W153" s="11" t="s">
        <v>190</v>
      </c>
      <c r="X153" s="11" t="s">
        <v>190</v>
      </c>
      <c r="Y153" s="11" t="s">
        <v>190</v>
      </c>
      <c r="Z153" s="11" t="s">
        <v>190</v>
      </c>
      <c r="AA153" s="9" t="s">
        <v>993</v>
      </c>
      <c r="AB153" s="11" t="s">
        <v>190</v>
      </c>
      <c r="AC153" s="12"/>
      <c r="AD153" s="12" t="s">
        <v>1040</v>
      </c>
      <c r="AE153" s="13" t="s">
        <v>360</v>
      </c>
      <c r="AF153" s="14" t="s">
        <v>360</v>
      </c>
      <c r="AG153" s="12"/>
      <c r="AH153" s="12"/>
    </row>
    <row r="154" spans="2:34" ht="10.25" customHeight="1" x14ac:dyDescent="0.55000000000000004">
      <c r="B154" s="16" t="s">
        <v>994</v>
      </c>
      <c r="C154" s="76">
        <v>145</v>
      </c>
      <c r="D154" s="11" t="s">
        <v>190</v>
      </c>
      <c r="E154" s="11" t="s">
        <v>190</v>
      </c>
      <c r="F154" s="11" t="s">
        <v>190</v>
      </c>
      <c r="G154" s="11" t="s">
        <v>190</v>
      </c>
      <c r="H154" s="11" t="s">
        <v>190</v>
      </c>
      <c r="I154" s="11" t="s">
        <v>190</v>
      </c>
      <c r="J154" s="11" t="s">
        <v>190</v>
      </c>
      <c r="K154" s="11" t="s">
        <v>190</v>
      </c>
      <c r="L154" s="11" t="s">
        <v>190</v>
      </c>
      <c r="M154" s="11" t="s">
        <v>190</v>
      </c>
      <c r="N154" s="11" t="s">
        <v>190</v>
      </c>
      <c r="O154" s="11" t="s">
        <v>190</v>
      </c>
      <c r="P154" s="11" t="s">
        <v>190</v>
      </c>
      <c r="Q154" s="11" t="s">
        <v>190</v>
      </c>
      <c r="R154" s="11" t="s">
        <v>190</v>
      </c>
      <c r="S154" s="11" t="s">
        <v>190</v>
      </c>
      <c r="T154" s="11" t="s">
        <v>190</v>
      </c>
      <c r="U154" s="11" t="s">
        <v>190</v>
      </c>
      <c r="V154" s="11" t="s">
        <v>190</v>
      </c>
      <c r="W154" s="11" t="s">
        <v>190</v>
      </c>
      <c r="X154" s="11" t="s">
        <v>190</v>
      </c>
      <c r="Y154" s="11" t="s">
        <v>190</v>
      </c>
      <c r="Z154" s="11" t="s">
        <v>190</v>
      </c>
      <c r="AA154" s="16" t="s">
        <v>994</v>
      </c>
      <c r="AB154" s="11" t="s">
        <v>190</v>
      </c>
      <c r="AC154" s="12"/>
      <c r="AD154" s="12" t="s">
        <v>1039</v>
      </c>
      <c r="AE154" s="13" t="s">
        <v>360</v>
      </c>
      <c r="AF154" s="14" t="s">
        <v>360</v>
      </c>
      <c r="AG154" s="12"/>
      <c r="AH154" s="12"/>
    </row>
    <row r="155" spans="2:34" ht="10.25" customHeight="1" x14ac:dyDescent="0.55000000000000004">
      <c r="B155" s="13" t="s">
        <v>1016</v>
      </c>
      <c r="C155" s="13">
        <v>146</v>
      </c>
      <c r="D155" s="14" t="s">
        <v>71</v>
      </c>
      <c r="E155" s="14" t="s">
        <v>437</v>
      </c>
      <c r="F155" s="14" t="s">
        <v>669</v>
      </c>
      <c r="G155" s="11" t="s">
        <v>190</v>
      </c>
      <c r="H155" s="14" t="s">
        <v>118</v>
      </c>
      <c r="I155" s="11" t="s">
        <v>190</v>
      </c>
      <c r="J155" s="11" t="s">
        <v>190</v>
      </c>
      <c r="K155" s="11" t="s">
        <v>190</v>
      </c>
      <c r="L155" s="11" t="s">
        <v>190</v>
      </c>
      <c r="M155" s="11" t="s">
        <v>190</v>
      </c>
      <c r="N155" s="14" t="s">
        <v>737</v>
      </c>
      <c r="O155" s="14" t="s">
        <v>738</v>
      </c>
      <c r="P155" s="14" t="s">
        <v>973</v>
      </c>
      <c r="Q155" s="11" t="s">
        <v>190</v>
      </c>
      <c r="R155" s="11" t="s">
        <v>190</v>
      </c>
      <c r="S155" s="11" t="s">
        <v>190</v>
      </c>
      <c r="T155" s="11" t="s">
        <v>190</v>
      </c>
      <c r="U155" s="11" t="s">
        <v>190</v>
      </c>
      <c r="V155" s="11" t="s">
        <v>190</v>
      </c>
      <c r="W155" s="11" t="s">
        <v>190</v>
      </c>
      <c r="X155" s="11" t="s">
        <v>190</v>
      </c>
      <c r="Y155" s="150" t="s">
        <v>214</v>
      </c>
      <c r="Z155" s="11" t="s">
        <v>190</v>
      </c>
      <c r="AA155" s="15"/>
      <c r="AB155" s="11" t="s">
        <v>190</v>
      </c>
      <c r="AC155" s="12" t="s">
        <v>1182</v>
      </c>
      <c r="AD155" s="12"/>
      <c r="AE155" s="13" t="s">
        <v>1044</v>
      </c>
      <c r="AF155" s="14" t="s">
        <v>1047</v>
      </c>
      <c r="AG155" s="12"/>
      <c r="AH155" s="12"/>
    </row>
    <row r="156" spans="2:34" ht="10.25" customHeight="1" x14ac:dyDescent="0.55000000000000004">
      <c r="B156" s="13" t="s">
        <v>72</v>
      </c>
      <c r="C156" s="13">
        <v>147</v>
      </c>
      <c r="D156" s="14" t="s">
        <v>72</v>
      </c>
      <c r="E156" s="14" t="s">
        <v>691</v>
      </c>
      <c r="F156" s="14" t="s">
        <v>439</v>
      </c>
      <c r="G156" s="14" t="s">
        <v>671</v>
      </c>
      <c r="H156" s="14" t="s">
        <v>120</v>
      </c>
      <c r="I156" s="11" t="s">
        <v>190</v>
      </c>
      <c r="J156" s="11" t="s">
        <v>190</v>
      </c>
      <c r="K156" s="11" t="s">
        <v>190</v>
      </c>
      <c r="L156" s="11" t="s">
        <v>190</v>
      </c>
      <c r="M156" s="11" t="s">
        <v>190</v>
      </c>
      <c r="N156" s="14" t="s">
        <v>739</v>
      </c>
      <c r="O156" s="14" t="s">
        <v>740</v>
      </c>
      <c r="P156" s="14" t="s">
        <v>974</v>
      </c>
      <c r="Q156" s="11" t="s">
        <v>190</v>
      </c>
      <c r="R156" s="11" t="s">
        <v>190</v>
      </c>
      <c r="S156" s="11" t="s">
        <v>190</v>
      </c>
      <c r="T156" s="11" t="s">
        <v>190</v>
      </c>
      <c r="U156" s="11" t="s">
        <v>190</v>
      </c>
      <c r="V156" s="11" t="s">
        <v>190</v>
      </c>
      <c r="W156" s="11" t="s">
        <v>190</v>
      </c>
      <c r="X156" s="11" t="s">
        <v>190</v>
      </c>
      <c r="Y156" s="150" t="s">
        <v>215</v>
      </c>
      <c r="Z156" s="11" t="s">
        <v>190</v>
      </c>
      <c r="AA156" s="15"/>
      <c r="AB156" s="11" t="s">
        <v>190</v>
      </c>
      <c r="AC156" s="12" t="s">
        <v>1182</v>
      </c>
      <c r="AD156" s="12"/>
      <c r="AE156" s="13" t="s">
        <v>1044</v>
      </c>
      <c r="AF156" s="14" t="s">
        <v>1047</v>
      </c>
      <c r="AG156" s="12"/>
      <c r="AH156" s="12"/>
    </row>
    <row r="157" spans="2:34" ht="10.25" customHeight="1" x14ac:dyDescent="0.55000000000000004">
      <c r="B157" s="13" t="s">
        <v>73</v>
      </c>
      <c r="C157" s="13">
        <v>148</v>
      </c>
      <c r="D157" s="14" t="s">
        <v>73</v>
      </c>
      <c r="E157" s="14" t="s">
        <v>434</v>
      </c>
      <c r="F157" s="14" t="s">
        <v>697</v>
      </c>
      <c r="G157" s="11" t="s">
        <v>190</v>
      </c>
      <c r="H157" s="14" t="s">
        <v>122</v>
      </c>
      <c r="I157" s="11" t="s">
        <v>190</v>
      </c>
      <c r="J157" s="11" t="s">
        <v>190</v>
      </c>
      <c r="K157" s="11" t="s">
        <v>190</v>
      </c>
      <c r="L157" s="11" t="s">
        <v>190</v>
      </c>
      <c r="M157" s="11" t="s">
        <v>190</v>
      </c>
      <c r="N157" s="14" t="s">
        <v>741</v>
      </c>
      <c r="O157" s="14" t="s">
        <v>742</v>
      </c>
      <c r="P157" s="11" t="s">
        <v>190</v>
      </c>
      <c r="Q157" s="11" t="s">
        <v>190</v>
      </c>
      <c r="R157" s="11" t="s">
        <v>190</v>
      </c>
      <c r="S157" s="11" t="s">
        <v>190</v>
      </c>
      <c r="T157" s="11" t="s">
        <v>190</v>
      </c>
      <c r="U157" s="11" t="s">
        <v>190</v>
      </c>
      <c r="V157" s="11" t="s">
        <v>190</v>
      </c>
      <c r="W157" s="11" t="s">
        <v>190</v>
      </c>
      <c r="X157" s="11" t="s">
        <v>190</v>
      </c>
      <c r="Y157" s="150" t="s">
        <v>216</v>
      </c>
      <c r="Z157" s="11" t="s">
        <v>190</v>
      </c>
      <c r="AA157" s="15"/>
      <c r="AB157" s="11" t="s">
        <v>190</v>
      </c>
      <c r="AC157" s="12" t="s">
        <v>1182</v>
      </c>
      <c r="AD157" s="12"/>
      <c r="AE157" s="13" t="s">
        <v>1044</v>
      </c>
      <c r="AF157" s="14" t="s">
        <v>1047</v>
      </c>
      <c r="AG157" s="12"/>
      <c r="AH157" s="12"/>
    </row>
    <row r="158" spans="2:34" ht="10.25" customHeight="1" x14ac:dyDescent="0.55000000000000004">
      <c r="B158" s="13" t="s">
        <v>74</v>
      </c>
      <c r="C158" s="13">
        <v>149</v>
      </c>
      <c r="D158" s="14" t="s">
        <v>74</v>
      </c>
      <c r="E158" s="14" t="s">
        <v>696</v>
      </c>
      <c r="F158" s="14" t="s">
        <v>438</v>
      </c>
      <c r="G158" s="14" t="s">
        <v>703</v>
      </c>
      <c r="H158" s="14" t="s">
        <v>116</v>
      </c>
      <c r="I158" s="11" t="s">
        <v>190</v>
      </c>
      <c r="J158" s="11" t="s">
        <v>190</v>
      </c>
      <c r="K158" s="11" t="s">
        <v>190</v>
      </c>
      <c r="L158" s="11" t="s">
        <v>190</v>
      </c>
      <c r="M158" s="11" t="s">
        <v>190</v>
      </c>
      <c r="N158" s="14" t="s">
        <v>743</v>
      </c>
      <c r="O158" s="14" t="s">
        <v>744</v>
      </c>
      <c r="P158" s="11" t="s">
        <v>190</v>
      </c>
      <c r="Q158" s="11" t="s">
        <v>190</v>
      </c>
      <c r="R158" s="11" t="s">
        <v>190</v>
      </c>
      <c r="S158" s="11" t="s">
        <v>190</v>
      </c>
      <c r="T158" s="11" t="s">
        <v>190</v>
      </c>
      <c r="U158" s="11" t="s">
        <v>190</v>
      </c>
      <c r="V158" s="11" t="s">
        <v>190</v>
      </c>
      <c r="W158" s="11" t="s">
        <v>190</v>
      </c>
      <c r="X158" s="11" t="s">
        <v>190</v>
      </c>
      <c r="Y158" s="150" t="s">
        <v>217</v>
      </c>
      <c r="Z158" s="11" t="s">
        <v>190</v>
      </c>
      <c r="AA158" s="15"/>
      <c r="AB158" s="11" t="s">
        <v>190</v>
      </c>
      <c r="AC158" s="12" t="s">
        <v>1182</v>
      </c>
      <c r="AD158" s="12"/>
      <c r="AE158" s="13" t="s">
        <v>1044</v>
      </c>
      <c r="AF158" s="14" t="s">
        <v>1047</v>
      </c>
      <c r="AG158" s="12"/>
      <c r="AH158" s="12"/>
    </row>
    <row r="159" spans="2:34" ht="10.25" customHeight="1" x14ac:dyDescent="0.55000000000000004">
      <c r="B159" s="13" t="s">
        <v>75</v>
      </c>
      <c r="C159" s="13">
        <v>150</v>
      </c>
      <c r="D159" s="14" t="s">
        <v>75</v>
      </c>
      <c r="E159" s="14" t="s">
        <v>430</v>
      </c>
      <c r="F159" s="14" t="s">
        <v>702</v>
      </c>
      <c r="G159" s="11" t="s">
        <v>190</v>
      </c>
      <c r="H159" s="11" t="s">
        <v>190</v>
      </c>
      <c r="I159" s="11" t="s">
        <v>190</v>
      </c>
      <c r="J159" s="11" t="s">
        <v>190</v>
      </c>
      <c r="K159" s="11" t="s">
        <v>190</v>
      </c>
      <c r="L159" s="11" t="s">
        <v>190</v>
      </c>
      <c r="M159" s="11" t="s">
        <v>190</v>
      </c>
      <c r="N159" s="14" t="s">
        <v>745</v>
      </c>
      <c r="O159" s="11" t="s">
        <v>190</v>
      </c>
      <c r="P159" s="11" t="s">
        <v>190</v>
      </c>
      <c r="Q159" s="14" t="s">
        <v>60</v>
      </c>
      <c r="R159" s="11" t="s">
        <v>190</v>
      </c>
      <c r="S159" s="11" t="s">
        <v>190</v>
      </c>
      <c r="T159" s="11" t="s">
        <v>190</v>
      </c>
      <c r="U159" s="11" t="s">
        <v>190</v>
      </c>
      <c r="V159" s="11" t="s">
        <v>190</v>
      </c>
      <c r="W159" s="11" t="s">
        <v>190</v>
      </c>
      <c r="X159" s="11" t="s">
        <v>190</v>
      </c>
      <c r="Y159" s="150" t="s">
        <v>218</v>
      </c>
      <c r="Z159" s="11" t="s">
        <v>190</v>
      </c>
      <c r="AA159" s="15"/>
      <c r="AB159" s="11" t="s">
        <v>190</v>
      </c>
      <c r="AC159" s="12" t="s">
        <v>1182</v>
      </c>
      <c r="AD159" s="12"/>
      <c r="AE159" s="13" t="s">
        <v>1044</v>
      </c>
      <c r="AF159" s="14" t="s">
        <v>1047</v>
      </c>
      <c r="AG159" s="12"/>
      <c r="AH159" s="12"/>
    </row>
    <row r="160" spans="2:34" ht="10.25" customHeight="1" x14ac:dyDescent="0.55000000000000004">
      <c r="B160" s="13" t="s">
        <v>76</v>
      </c>
      <c r="C160" s="13">
        <v>151</v>
      </c>
      <c r="D160" s="14" t="s">
        <v>76</v>
      </c>
      <c r="E160" s="14" t="s">
        <v>701</v>
      </c>
      <c r="F160" s="14" t="s">
        <v>435</v>
      </c>
      <c r="G160" s="14" t="s">
        <v>707</v>
      </c>
      <c r="H160" s="11" t="s">
        <v>190</v>
      </c>
      <c r="I160" s="11" t="s">
        <v>190</v>
      </c>
      <c r="J160" s="11" t="s">
        <v>190</v>
      </c>
      <c r="K160" s="11" t="s">
        <v>190</v>
      </c>
      <c r="L160" s="11" t="s">
        <v>190</v>
      </c>
      <c r="M160" s="11" t="s">
        <v>190</v>
      </c>
      <c r="N160" s="11" t="s">
        <v>190</v>
      </c>
      <c r="O160" s="11" t="s">
        <v>190</v>
      </c>
      <c r="P160" s="11" t="s">
        <v>190</v>
      </c>
      <c r="Q160" s="14" t="s">
        <v>63</v>
      </c>
      <c r="R160" s="11" t="s">
        <v>190</v>
      </c>
      <c r="S160" s="11" t="s">
        <v>190</v>
      </c>
      <c r="T160" s="11" t="s">
        <v>190</v>
      </c>
      <c r="U160" s="11" t="s">
        <v>190</v>
      </c>
      <c r="V160" s="11" t="s">
        <v>190</v>
      </c>
      <c r="W160" s="11" t="s">
        <v>190</v>
      </c>
      <c r="X160" s="11" t="s">
        <v>190</v>
      </c>
      <c r="Y160" s="150" t="s">
        <v>219</v>
      </c>
      <c r="Z160" s="11" t="s">
        <v>190</v>
      </c>
      <c r="AA160" s="15"/>
      <c r="AB160" s="11" t="s">
        <v>190</v>
      </c>
      <c r="AC160" s="12"/>
      <c r="AD160" s="12"/>
      <c r="AE160" s="13" t="s">
        <v>1044</v>
      </c>
      <c r="AF160" s="14" t="s">
        <v>1047</v>
      </c>
      <c r="AG160" s="12"/>
      <c r="AH160" s="12"/>
    </row>
    <row r="161" spans="2:34" ht="10.25" customHeight="1" x14ac:dyDescent="0.55000000000000004">
      <c r="B161" s="13" t="s">
        <v>746</v>
      </c>
      <c r="C161" s="74">
        <v>152</v>
      </c>
      <c r="D161" s="14" t="s">
        <v>746</v>
      </c>
      <c r="E161" s="14" t="s">
        <v>425</v>
      </c>
      <c r="F161" s="14" t="s">
        <v>706</v>
      </c>
      <c r="G161" s="11" t="s">
        <v>190</v>
      </c>
      <c r="H161" s="11" t="s">
        <v>190</v>
      </c>
      <c r="I161" s="11" t="s">
        <v>190</v>
      </c>
      <c r="J161" s="11" t="s">
        <v>190</v>
      </c>
      <c r="K161" s="11" t="s">
        <v>190</v>
      </c>
      <c r="L161" s="11" t="s">
        <v>190</v>
      </c>
      <c r="M161" s="11" t="s">
        <v>190</v>
      </c>
      <c r="N161" s="11" t="s">
        <v>190</v>
      </c>
      <c r="O161" s="11" t="s">
        <v>190</v>
      </c>
      <c r="P161" s="11" t="s">
        <v>190</v>
      </c>
      <c r="Q161" s="14" t="s">
        <v>66</v>
      </c>
      <c r="R161" s="11" t="s">
        <v>190</v>
      </c>
      <c r="S161" s="11" t="s">
        <v>190</v>
      </c>
      <c r="T161" s="11" t="s">
        <v>190</v>
      </c>
      <c r="U161" s="11" t="s">
        <v>190</v>
      </c>
      <c r="V161" s="11" t="s">
        <v>190</v>
      </c>
      <c r="W161" s="11" t="s">
        <v>190</v>
      </c>
      <c r="X161" s="11" t="s">
        <v>190</v>
      </c>
      <c r="Y161" s="150" t="s">
        <v>220</v>
      </c>
      <c r="Z161" s="11" t="s">
        <v>190</v>
      </c>
      <c r="AA161" s="15"/>
      <c r="AB161" s="11" t="s">
        <v>190</v>
      </c>
      <c r="AC161" s="12"/>
      <c r="AD161" s="12"/>
      <c r="AE161" s="13" t="s">
        <v>1044</v>
      </c>
      <c r="AF161" s="14" t="s">
        <v>1047</v>
      </c>
      <c r="AG161" s="12"/>
      <c r="AH161" s="12"/>
    </row>
    <row r="162" spans="2:34" ht="10.25" customHeight="1" x14ac:dyDescent="0.55000000000000004">
      <c r="B162" s="13" t="s">
        <v>747</v>
      </c>
      <c r="C162" s="74">
        <v>153</v>
      </c>
      <c r="D162" s="14" t="s">
        <v>747</v>
      </c>
      <c r="E162" s="14" t="s">
        <v>705</v>
      </c>
      <c r="F162" s="14" t="s">
        <v>431</v>
      </c>
      <c r="G162" s="14" t="s">
        <v>711</v>
      </c>
      <c r="H162" s="11" t="s">
        <v>190</v>
      </c>
      <c r="I162" s="11" t="s">
        <v>190</v>
      </c>
      <c r="J162" s="11" t="s">
        <v>190</v>
      </c>
      <c r="K162" s="11" t="s">
        <v>190</v>
      </c>
      <c r="L162" s="11" t="s">
        <v>190</v>
      </c>
      <c r="M162" s="11" t="s">
        <v>190</v>
      </c>
      <c r="N162" s="11" t="s">
        <v>190</v>
      </c>
      <c r="O162" s="11" t="s">
        <v>190</v>
      </c>
      <c r="P162" s="11" t="s">
        <v>190</v>
      </c>
      <c r="Q162" s="14" t="s">
        <v>69</v>
      </c>
      <c r="R162" s="11" t="s">
        <v>190</v>
      </c>
      <c r="S162" s="11" t="s">
        <v>190</v>
      </c>
      <c r="T162" s="11" t="s">
        <v>190</v>
      </c>
      <c r="U162" s="11" t="s">
        <v>190</v>
      </c>
      <c r="V162" s="11" t="s">
        <v>190</v>
      </c>
      <c r="W162" s="11" t="s">
        <v>190</v>
      </c>
      <c r="X162" s="11" t="s">
        <v>190</v>
      </c>
      <c r="Y162" s="150" t="s">
        <v>221</v>
      </c>
      <c r="Z162" s="11" t="s">
        <v>190</v>
      </c>
      <c r="AA162" s="15"/>
      <c r="AB162" s="11" t="s">
        <v>190</v>
      </c>
      <c r="AC162" s="12"/>
      <c r="AD162" s="12"/>
      <c r="AE162" s="13" t="s">
        <v>1044</v>
      </c>
      <c r="AF162" s="14" t="s">
        <v>1047</v>
      </c>
      <c r="AG162" s="12"/>
      <c r="AH162" s="12"/>
    </row>
    <row r="163" spans="2:34" ht="10.25" customHeight="1" x14ac:dyDescent="0.55000000000000004">
      <c r="B163" s="9" t="s">
        <v>993</v>
      </c>
      <c r="C163" s="10">
        <v>154</v>
      </c>
      <c r="D163" s="11" t="s">
        <v>190</v>
      </c>
      <c r="E163" s="11" t="s">
        <v>190</v>
      </c>
      <c r="F163" s="11" t="s">
        <v>190</v>
      </c>
      <c r="G163" s="11" t="s">
        <v>190</v>
      </c>
      <c r="H163" s="11" t="s">
        <v>190</v>
      </c>
      <c r="I163" s="11" t="s">
        <v>190</v>
      </c>
      <c r="J163" s="11" t="s">
        <v>190</v>
      </c>
      <c r="K163" s="11" t="s">
        <v>190</v>
      </c>
      <c r="L163" s="11" t="s">
        <v>190</v>
      </c>
      <c r="M163" s="11" t="s">
        <v>190</v>
      </c>
      <c r="N163" s="11" t="s">
        <v>190</v>
      </c>
      <c r="O163" s="11" t="s">
        <v>190</v>
      </c>
      <c r="P163" s="11" t="s">
        <v>190</v>
      </c>
      <c r="Q163" s="11" t="s">
        <v>190</v>
      </c>
      <c r="R163" s="11" t="s">
        <v>190</v>
      </c>
      <c r="S163" s="11" t="s">
        <v>190</v>
      </c>
      <c r="T163" s="11" t="s">
        <v>190</v>
      </c>
      <c r="U163" s="11" t="s">
        <v>190</v>
      </c>
      <c r="V163" s="11" t="s">
        <v>190</v>
      </c>
      <c r="W163" s="11" t="s">
        <v>190</v>
      </c>
      <c r="X163" s="11" t="s">
        <v>190</v>
      </c>
      <c r="Y163" s="11" t="s">
        <v>190</v>
      </c>
      <c r="Z163" s="11" t="s">
        <v>190</v>
      </c>
      <c r="AA163" s="9" t="s">
        <v>993</v>
      </c>
      <c r="AB163" s="11" t="s">
        <v>190</v>
      </c>
      <c r="AC163" s="12"/>
      <c r="AD163" s="12" t="s">
        <v>1040</v>
      </c>
      <c r="AE163" s="13" t="s">
        <v>360</v>
      </c>
      <c r="AF163" s="14" t="s">
        <v>360</v>
      </c>
      <c r="AG163" s="12"/>
      <c r="AH163" s="12"/>
    </row>
    <row r="164" spans="2:34" ht="10.25" customHeight="1" x14ac:dyDescent="0.55000000000000004">
      <c r="B164" s="16" t="s">
        <v>994</v>
      </c>
      <c r="C164" s="10">
        <v>155</v>
      </c>
      <c r="D164" s="11" t="s">
        <v>190</v>
      </c>
      <c r="E164" s="11" t="s">
        <v>190</v>
      </c>
      <c r="F164" s="11" t="s">
        <v>190</v>
      </c>
      <c r="G164" s="11" t="s">
        <v>190</v>
      </c>
      <c r="H164" s="11" t="s">
        <v>190</v>
      </c>
      <c r="I164" s="11" t="s">
        <v>190</v>
      </c>
      <c r="J164" s="11" t="s">
        <v>190</v>
      </c>
      <c r="K164" s="11" t="s">
        <v>190</v>
      </c>
      <c r="L164" s="11" t="s">
        <v>190</v>
      </c>
      <c r="M164" s="11" t="s">
        <v>190</v>
      </c>
      <c r="N164" s="11" t="s">
        <v>190</v>
      </c>
      <c r="O164" s="11" t="s">
        <v>190</v>
      </c>
      <c r="P164" s="11" t="s">
        <v>190</v>
      </c>
      <c r="Q164" s="11" t="s">
        <v>190</v>
      </c>
      <c r="R164" s="11" t="s">
        <v>190</v>
      </c>
      <c r="S164" s="11" t="s">
        <v>190</v>
      </c>
      <c r="T164" s="11" t="s">
        <v>190</v>
      </c>
      <c r="U164" s="11" t="s">
        <v>190</v>
      </c>
      <c r="V164" s="11" t="s">
        <v>190</v>
      </c>
      <c r="W164" s="11" t="s">
        <v>190</v>
      </c>
      <c r="X164" s="11" t="s">
        <v>190</v>
      </c>
      <c r="Y164" s="11" t="s">
        <v>190</v>
      </c>
      <c r="Z164" s="11" t="s">
        <v>190</v>
      </c>
      <c r="AA164" s="16" t="s">
        <v>994</v>
      </c>
      <c r="AB164" s="11" t="s">
        <v>190</v>
      </c>
      <c r="AC164" s="12"/>
      <c r="AD164" s="12" t="s">
        <v>1039</v>
      </c>
      <c r="AE164" s="13" t="s">
        <v>360</v>
      </c>
      <c r="AF164" s="14" t="s">
        <v>360</v>
      </c>
      <c r="AG164" s="12"/>
      <c r="AH164" s="12"/>
    </row>
    <row r="165" spans="2:34" ht="10.25" customHeight="1" x14ac:dyDescent="0.55000000000000004">
      <c r="B165" s="13" t="s">
        <v>1017</v>
      </c>
      <c r="C165" s="74">
        <v>156</v>
      </c>
      <c r="D165" s="14" t="s">
        <v>77</v>
      </c>
      <c r="E165" s="14" t="s">
        <v>464</v>
      </c>
      <c r="F165" s="14" t="s">
        <v>710</v>
      </c>
      <c r="G165" s="11" t="s">
        <v>190</v>
      </c>
      <c r="H165" s="11" t="s">
        <v>190</v>
      </c>
      <c r="I165" s="11" t="s">
        <v>190</v>
      </c>
      <c r="J165" s="11" t="s">
        <v>190</v>
      </c>
      <c r="K165" s="11" t="s">
        <v>190</v>
      </c>
      <c r="L165" s="11" t="s">
        <v>190</v>
      </c>
      <c r="M165" s="11" t="s">
        <v>190</v>
      </c>
      <c r="N165" s="11" t="s">
        <v>190</v>
      </c>
      <c r="O165" s="11" t="s">
        <v>190</v>
      </c>
      <c r="P165" s="11" t="s">
        <v>190</v>
      </c>
      <c r="Q165" s="11" t="s">
        <v>190</v>
      </c>
      <c r="R165" s="11" t="s">
        <v>190</v>
      </c>
      <c r="S165" s="11" t="s">
        <v>190</v>
      </c>
      <c r="T165" s="11" t="s">
        <v>190</v>
      </c>
      <c r="U165" s="11" t="s">
        <v>190</v>
      </c>
      <c r="V165" s="11" t="s">
        <v>190</v>
      </c>
      <c r="W165" s="11" t="s">
        <v>190</v>
      </c>
      <c r="X165" s="11" t="s">
        <v>190</v>
      </c>
      <c r="Y165" s="150" t="s">
        <v>222</v>
      </c>
      <c r="Z165" s="11" t="s">
        <v>190</v>
      </c>
      <c r="AA165" s="15"/>
      <c r="AB165" s="11" t="s">
        <v>190</v>
      </c>
      <c r="AC165" s="12"/>
      <c r="AD165" s="12"/>
      <c r="AE165" s="13" t="s">
        <v>1044</v>
      </c>
      <c r="AF165" s="14" t="s">
        <v>1047</v>
      </c>
      <c r="AG165" s="12"/>
      <c r="AH165" s="12"/>
    </row>
    <row r="166" spans="2:34" ht="10.25" customHeight="1" x14ac:dyDescent="0.55000000000000004">
      <c r="B166" s="13" t="s">
        <v>78</v>
      </c>
      <c r="C166" s="13">
        <v>157</v>
      </c>
      <c r="D166" s="14" t="s">
        <v>78</v>
      </c>
      <c r="E166" s="14" t="s">
        <v>709</v>
      </c>
      <c r="F166" s="14" t="s">
        <v>467</v>
      </c>
      <c r="G166" s="14" t="s">
        <v>715</v>
      </c>
      <c r="H166" s="11" t="s">
        <v>190</v>
      </c>
      <c r="I166" s="11" t="s">
        <v>190</v>
      </c>
      <c r="J166" s="11" t="s">
        <v>190</v>
      </c>
      <c r="K166" s="11" t="s">
        <v>190</v>
      </c>
      <c r="L166" s="11" t="s">
        <v>190</v>
      </c>
      <c r="M166" s="149" t="s">
        <v>748</v>
      </c>
      <c r="N166" s="11" t="s">
        <v>190</v>
      </c>
      <c r="O166" s="11" t="s">
        <v>190</v>
      </c>
      <c r="P166" s="11" t="s">
        <v>190</v>
      </c>
      <c r="Q166" s="11" t="s">
        <v>190</v>
      </c>
      <c r="R166" s="11" t="s">
        <v>190</v>
      </c>
      <c r="S166" s="11" t="s">
        <v>190</v>
      </c>
      <c r="T166" s="11" t="s">
        <v>190</v>
      </c>
      <c r="U166" s="11" t="s">
        <v>190</v>
      </c>
      <c r="V166" s="11" t="s">
        <v>190</v>
      </c>
      <c r="W166" s="11" t="s">
        <v>190</v>
      </c>
      <c r="X166" s="11" t="s">
        <v>190</v>
      </c>
      <c r="Y166" s="150" t="s">
        <v>223</v>
      </c>
      <c r="Z166" s="11" t="s">
        <v>190</v>
      </c>
      <c r="AA166" s="15"/>
      <c r="AB166" s="11" t="s">
        <v>190</v>
      </c>
      <c r="AC166" s="12" t="s">
        <v>1182</v>
      </c>
      <c r="AD166" s="12"/>
      <c r="AE166" s="13" t="s">
        <v>1044</v>
      </c>
      <c r="AF166" s="14" t="s">
        <v>1047</v>
      </c>
      <c r="AG166" s="12"/>
      <c r="AH166" s="12"/>
    </row>
    <row r="167" spans="2:34" ht="10.25" customHeight="1" x14ac:dyDescent="0.55000000000000004">
      <c r="B167" s="13" t="s">
        <v>79</v>
      </c>
      <c r="C167" s="13">
        <v>158</v>
      </c>
      <c r="D167" s="14" t="s">
        <v>79</v>
      </c>
      <c r="E167" s="14" t="s">
        <v>469</v>
      </c>
      <c r="F167" s="14" t="s">
        <v>714</v>
      </c>
      <c r="G167" s="11" t="s">
        <v>190</v>
      </c>
      <c r="H167" s="11" t="s">
        <v>190</v>
      </c>
      <c r="I167" s="11" t="s">
        <v>190</v>
      </c>
      <c r="J167" s="11" t="s">
        <v>190</v>
      </c>
      <c r="K167" s="11" t="s">
        <v>190</v>
      </c>
      <c r="L167" s="11" t="s">
        <v>190</v>
      </c>
      <c r="M167" s="149" t="s">
        <v>749</v>
      </c>
      <c r="N167" s="11" t="s">
        <v>190</v>
      </c>
      <c r="O167" s="11" t="s">
        <v>190</v>
      </c>
      <c r="P167" s="11" t="s">
        <v>190</v>
      </c>
      <c r="Q167" s="11" t="s">
        <v>190</v>
      </c>
      <c r="R167" s="11" t="s">
        <v>190</v>
      </c>
      <c r="S167" s="11" t="s">
        <v>190</v>
      </c>
      <c r="T167" s="11" t="s">
        <v>190</v>
      </c>
      <c r="U167" s="11" t="s">
        <v>190</v>
      </c>
      <c r="V167" s="11" t="s">
        <v>190</v>
      </c>
      <c r="W167" s="11" t="s">
        <v>190</v>
      </c>
      <c r="X167" s="11" t="s">
        <v>190</v>
      </c>
      <c r="Y167" s="150" t="s">
        <v>224</v>
      </c>
      <c r="Z167" s="11" t="s">
        <v>190</v>
      </c>
      <c r="AA167" s="15"/>
      <c r="AB167" s="11" t="s">
        <v>190</v>
      </c>
      <c r="AC167" s="12" t="s">
        <v>1182</v>
      </c>
      <c r="AD167" s="12"/>
      <c r="AE167" s="13" t="s">
        <v>1044</v>
      </c>
      <c r="AF167" s="14" t="s">
        <v>1047</v>
      </c>
      <c r="AG167" s="12"/>
      <c r="AH167" s="12"/>
    </row>
    <row r="168" spans="2:34" ht="10.25" customHeight="1" x14ac:dyDescent="0.55000000000000004">
      <c r="B168" s="13" t="s">
        <v>80</v>
      </c>
      <c r="C168" s="13">
        <v>159</v>
      </c>
      <c r="D168" s="14" t="s">
        <v>80</v>
      </c>
      <c r="E168" s="14" t="s">
        <v>713</v>
      </c>
      <c r="F168" s="14" t="s">
        <v>473</v>
      </c>
      <c r="G168" s="14" t="s">
        <v>670</v>
      </c>
      <c r="H168" s="11" t="s">
        <v>190</v>
      </c>
      <c r="I168" s="11" t="s">
        <v>190</v>
      </c>
      <c r="J168" s="11" t="s">
        <v>190</v>
      </c>
      <c r="K168" s="11" t="s">
        <v>190</v>
      </c>
      <c r="L168" s="11" t="s">
        <v>190</v>
      </c>
      <c r="M168" s="14" t="s">
        <v>750</v>
      </c>
      <c r="N168" s="11" t="s">
        <v>190</v>
      </c>
      <c r="O168" s="11" t="s">
        <v>190</v>
      </c>
      <c r="P168" s="11" t="s">
        <v>190</v>
      </c>
      <c r="Q168" s="11" t="s">
        <v>190</v>
      </c>
      <c r="R168" s="11" t="s">
        <v>190</v>
      </c>
      <c r="S168" s="11" t="s">
        <v>190</v>
      </c>
      <c r="T168" s="11" t="s">
        <v>190</v>
      </c>
      <c r="U168" s="11" t="s">
        <v>190</v>
      </c>
      <c r="V168" s="11" t="s">
        <v>190</v>
      </c>
      <c r="W168" s="11" t="s">
        <v>190</v>
      </c>
      <c r="X168" s="11" t="s">
        <v>190</v>
      </c>
      <c r="Y168" s="150" t="s">
        <v>225</v>
      </c>
      <c r="Z168" s="11" t="s">
        <v>190</v>
      </c>
      <c r="AA168" s="15"/>
      <c r="AB168" s="11" t="s">
        <v>190</v>
      </c>
      <c r="AC168" s="12" t="s">
        <v>1182</v>
      </c>
      <c r="AD168" s="12"/>
      <c r="AE168" s="13" t="s">
        <v>1044</v>
      </c>
      <c r="AF168" s="14" t="s">
        <v>1047</v>
      </c>
      <c r="AG168" s="12"/>
      <c r="AH168" s="12"/>
    </row>
    <row r="169" spans="2:34" ht="10.25" customHeight="1" x14ac:dyDescent="0.55000000000000004">
      <c r="B169" s="13" t="s">
        <v>82</v>
      </c>
      <c r="C169" s="13">
        <v>160</v>
      </c>
      <c r="D169" s="14" t="s">
        <v>82</v>
      </c>
      <c r="E169" s="14" t="s">
        <v>474</v>
      </c>
      <c r="F169" s="14" t="s">
        <v>404</v>
      </c>
      <c r="G169" s="11" t="s">
        <v>190</v>
      </c>
      <c r="H169" s="11" t="s">
        <v>190</v>
      </c>
      <c r="I169" s="11" t="s">
        <v>190</v>
      </c>
      <c r="J169" s="11" t="s">
        <v>190</v>
      </c>
      <c r="K169" s="11" t="s">
        <v>190</v>
      </c>
      <c r="L169" s="11" t="s">
        <v>190</v>
      </c>
      <c r="M169" s="14" t="s">
        <v>751</v>
      </c>
      <c r="N169" s="11" t="s">
        <v>190</v>
      </c>
      <c r="O169" s="11" t="s">
        <v>190</v>
      </c>
      <c r="P169" s="11" t="s">
        <v>190</v>
      </c>
      <c r="Q169" s="14" t="s">
        <v>99</v>
      </c>
      <c r="R169" s="11" t="s">
        <v>190</v>
      </c>
      <c r="S169" s="11" t="s">
        <v>190</v>
      </c>
      <c r="T169" s="11" t="s">
        <v>190</v>
      </c>
      <c r="U169" s="11" t="s">
        <v>190</v>
      </c>
      <c r="V169" s="11" t="s">
        <v>190</v>
      </c>
      <c r="W169" s="11" t="s">
        <v>190</v>
      </c>
      <c r="X169" s="11" t="s">
        <v>190</v>
      </c>
      <c r="Y169" s="150" t="s">
        <v>226</v>
      </c>
      <c r="Z169" s="11" t="s">
        <v>190</v>
      </c>
      <c r="AA169" s="15"/>
      <c r="AB169" s="11" t="s">
        <v>190</v>
      </c>
      <c r="AC169" s="12" t="s">
        <v>1182</v>
      </c>
      <c r="AD169" s="12"/>
      <c r="AE169" s="13" t="s">
        <v>1044</v>
      </c>
      <c r="AF169" s="14" t="s">
        <v>1047</v>
      </c>
      <c r="AG169" s="12"/>
      <c r="AH169" s="12"/>
    </row>
    <row r="170" spans="2:34" ht="10.25" customHeight="1" x14ac:dyDescent="0.55000000000000004">
      <c r="B170" s="13" t="s">
        <v>83</v>
      </c>
      <c r="C170" s="13">
        <v>161</v>
      </c>
      <c r="D170" s="14" t="s">
        <v>83</v>
      </c>
      <c r="E170" s="14" t="s">
        <v>419</v>
      </c>
      <c r="F170" s="14" t="s">
        <v>476</v>
      </c>
      <c r="G170" s="11" t="s">
        <v>190</v>
      </c>
      <c r="H170" s="11" t="s">
        <v>190</v>
      </c>
      <c r="I170" s="11" t="s">
        <v>190</v>
      </c>
      <c r="J170" s="11" t="s">
        <v>190</v>
      </c>
      <c r="K170" s="11" t="s">
        <v>190</v>
      </c>
      <c r="L170" s="11" t="s">
        <v>190</v>
      </c>
      <c r="M170" s="14" t="s">
        <v>752</v>
      </c>
      <c r="N170" s="11" t="s">
        <v>190</v>
      </c>
      <c r="O170" s="11" t="s">
        <v>190</v>
      </c>
      <c r="P170" s="11" t="s">
        <v>190</v>
      </c>
      <c r="Q170" s="14" t="s">
        <v>101</v>
      </c>
      <c r="R170" s="11" t="s">
        <v>190</v>
      </c>
      <c r="S170" s="11" t="s">
        <v>190</v>
      </c>
      <c r="T170" s="11" t="s">
        <v>190</v>
      </c>
      <c r="U170" s="11" t="s">
        <v>190</v>
      </c>
      <c r="V170" s="11" t="s">
        <v>190</v>
      </c>
      <c r="W170" s="11" t="s">
        <v>190</v>
      </c>
      <c r="X170" s="11" t="s">
        <v>190</v>
      </c>
      <c r="Y170" s="150" t="s">
        <v>227</v>
      </c>
      <c r="Z170" s="11" t="s">
        <v>190</v>
      </c>
      <c r="AA170" s="15"/>
      <c r="AB170" s="11" t="s">
        <v>190</v>
      </c>
      <c r="AC170" s="12" t="s">
        <v>1182</v>
      </c>
      <c r="AD170" s="12"/>
      <c r="AE170" s="13" t="s">
        <v>1044</v>
      </c>
      <c r="AF170" s="14" t="s">
        <v>1047</v>
      </c>
      <c r="AG170" s="12"/>
      <c r="AH170" s="12"/>
    </row>
    <row r="171" spans="2:34" ht="10.25" customHeight="1" x14ac:dyDescent="0.55000000000000004">
      <c r="B171" s="13" t="s">
        <v>84</v>
      </c>
      <c r="C171" s="13">
        <v>162</v>
      </c>
      <c r="D171" s="14" t="s">
        <v>84</v>
      </c>
      <c r="E171" s="14" t="s">
        <v>477</v>
      </c>
      <c r="F171" s="14" t="s">
        <v>426</v>
      </c>
      <c r="G171" s="11" t="s">
        <v>190</v>
      </c>
      <c r="H171" s="11" t="s">
        <v>190</v>
      </c>
      <c r="I171" s="11" t="s">
        <v>190</v>
      </c>
      <c r="J171" s="11" t="s">
        <v>190</v>
      </c>
      <c r="K171" s="11" t="s">
        <v>190</v>
      </c>
      <c r="L171" s="11" t="s">
        <v>190</v>
      </c>
      <c r="M171" s="14" t="s">
        <v>753</v>
      </c>
      <c r="N171" s="11" t="s">
        <v>190</v>
      </c>
      <c r="O171" s="11" t="s">
        <v>190</v>
      </c>
      <c r="P171" s="11" t="s">
        <v>190</v>
      </c>
      <c r="Q171" s="14" t="s">
        <v>95</v>
      </c>
      <c r="R171" s="11" t="s">
        <v>190</v>
      </c>
      <c r="S171" s="11" t="s">
        <v>190</v>
      </c>
      <c r="T171" s="11" t="s">
        <v>190</v>
      </c>
      <c r="U171" s="11" t="s">
        <v>190</v>
      </c>
      <c r="V171" s="11" t="s">
        <v>190</v>
      </c>
      <c r="W171" s="11" t="s">
        <v>190</v>
      </c>
      <c r="X171" s="11" t="s">
        <v>190</v>
      </c>
      <c r="Y171" s="150" t="s">
        <v>228</v>
      </c>
      <c r="Z171" s="11" t="s">
        <v>190</v>
      </c>
      <c r="AA171" s="15"/>
      <c r="AB171" s="11" t="s">
        <v>190</v>
      </c>
      <c r="AC171" s="12" t="s">
        <v>1182</v>
      </c>
      <c r="AD171" s="12"/>
      <c r="AE171" s="13" t="s">
        <v>1044</v>
      </c>
      <c r="AF171" s="14" t="s">
        <v>1047</v>
      </c>
      <c r="AG171" s="12"/>
      <c r="AH171" s="12"/>
    </row>
    <row r="172" spans="2:34" ht="10.25" customHeight="1" x14ac:dyDescent="0.55000000000000004">
      <c r="B172" s="13" t="s">
        <v>86</v>
      </c>
      <c r="C172" s="13">
        <v>163</v>
      </c>
      <c r="D172" s="14" t="s">
        <v>86</v>
      </c>
      <c r="E172" s="14" t="s">
        <v>414</v>
      </c>
      <c r="F172" s="14" t="s">
        <v>478</v>
      </c>
      <c r="G172" s="11" t="s">
        <v>190</v>
      </c>
      <c r="H172" s="11" t="s">
        <v>190</v>
      </c>
      <c r="I172" s="11" t="s">
        <v>190</v>
      </c>
      <c r="J172" s="11" t="s">
        <v>190</v>
      </c>
      <c r="K172" s="11" t="s">
        <v>190</v>
      </c>
      <c r="L172" s="11" t="s">
        <v>190</v>
      </c>
      <c r="M172" s="14" t="s">
        <v>754</v>
      </c>
      <c r="N172" s="11" t="s">
        <v>190</v>
      </c>
      <c r="O172" s="11" t="s">
        <v>190</v>
      </c>
      <c r="P172" s="11" t="s">
        <v>190</v>
      </c>
      <c r="Q172" s="14" t="s">
        <v>97</v>
      </c>
      <c r="R172" s="11" t="s">
        <v>190</v>
      </c>
      <c r="S172" s="11" t="s">
        <v>190</v>
      </c>
      <c r="T172" s="11" t="s">
        <v>190</v>
      </c>
      <c r="U172" s="11" t="s">
        <v>190</v>
      </c>
      <c r="V172" s="11" t="s">
        <v>190</v>
      </c>
      <c r="W172" s="11" t="s">
        <v>190</v>
      </c>
      <c r="X172" s="11" t="s">
        <v>190</v>
      </c>
      <c r="Y172" s="150" t="s">
        <v>229</v>
      </c>
      <c r="Z172" s="11" t="s">
        <v>190</v>
      </c>
      <c r="AA172" s="15"/>
      <c r="AB172" s="11" t="s">
        <v>190</v>
      </c>
      <c r="AC172" s="12" t="s">
        <v>1182</v>
      </c>
      <c r="AD172" s="12"/>
      <c r="AE172" s="13" t="s">
        <v>1044</v>
      </c>
      <c r="AF172" s="14" t="s">
        <v>1047</v>
      </c>
      <c r="AG172" s="12"/>
      <c r="AH172" s="12"/>
    </row>
    <row r="173" spans="2:34" ht="10.25" customHeight="1" x14ac:dyDescent="0.55000000000000004">
      <c r="B173" s="9" t="s">
        <v>993</v>
      </c>
      <c r="C173" s="76">
        <v>164</v>
      </c>
      <c r="D173" s="11" t="s">
        <v>190</v>
      </c>
      <c r="E173" s="11" t="s">
        <v>190</v>
      </c>
      <c r="F173" s="11" t="s">
        <v>190</v>
      </c>
      <c r="G173" s="11" t="s">
        <v>190</v>
      </c>
      <c r="H173" s="11" t="s">
        <v>190</v>
      </c>
      <c r="I173" s="11" t="s">
        <v>190</v>
      </c>
      <c r="J173" s="11" t="s">
        <v>190</v>
      </c>
      <c r="K173" s="11" t="s">
        <v>190</v>
      </c>
      <c r="L173" s="11" t="s">
        <v>190</v>
      </c>
      <c r="M173" s="11" t="s">
        <v>190</v>
      </c>
      <c r="N173" s="11" t="s">
        <v>190</v>
      </c>
      <c r="O173" s="11" t="s">
        <v>190</v>
      </c>
      <c r="P173" s="11" t="s">
        <v>190</v>
      </c>
      <c r="Q173" s="11" t="s">
        <v>190</v>
      </c>
      <c r="R173" s="11" t="s">
        <v>190</v>
      </c>
      <c r="S173" s="11" t="s">
        <v>190</v>
      </c>
      <c r="T173" s="11" t="s">
        <v>190</v>
      </c>
      <c r="U173" s="11" t="s">
        <v>190</v>
      </c>
      <c r="V173" s="11" t="s">
        <v>190</v>
      </c>
      <c r="W173" s="11" t="s">
        <v>190</v>
      </c>
      <c r="X173" s="11" t="s">
        <v>190</v>
      </c>
      <c r="Y173" s="11" t="s">
        <v>190</v>
      </c>
      <c r="Z173" s="11" t="s">
        <v>190</v>
      </c>
      <c r="AA173" s="9" t="s">
        <v>993</v>
      </c>
      <c r="AB173" s="11" t="s">
        <v>190</v>
      </c>
      <c r="AC173" s="12"/>
      <c r="AD173" s="12" t="s">
        <v>1040</v>
      </c>
      <c r="AE173" s="13" t="s">
        <v>360</v>
      </c>
      <c r="AF173" s="14" t="s">
        <v>360</v>
      </c>
      <c r="AG173" s="12"/>
      <c r="AH173" s="12"/>
    </row>
    <row r="174" spans="2:34" ht="10.25" customHeight="1" x14ac:dyDescent="0.55000000000000004">
      <c r="B174" s="16" t="s">
        <v>994</v>
      </c>
      <c r="C174" s="76">
        <v>165</v>
      </c>
      <c r="D174" s="11" t="s">
        <v>190</v>
      </c>
      <c r="E174" s="11" t="s">
        <v>190</v>
      </c>
      <c r="F174" s="11" t="s">
        <v>190</v>
      </c>
      <c r="G174" s="11" t="s">
        <v>190</v>
      </c>
      <c r="H174" s="11" t="s">
        <v>190</v>
      </c>
      <c r="I174" s="11" t="s">
        <v>190</v>
      </c>
      <c r="J174" s="11" t="s">
        <v>190</v>
      </c>
      <c r="K174" s="11" t="s">
        <v>190</v>
      </c>
      <c r="L174" s="11" t="s">
        <v>190</v>
      </c>
      <c r="M174" s="11" t="s">
        <v>190</v>
      </c>
      <c r="N174" s="11" t="s">
        <v>190</v>
      </c>
      <c r="O174" s="11" t="s">
        <v>190</v>
      </c>
      <c r="P174" s="11" t="s">
        <v>190</v>
      </c>
      <c r="Q174" s="11" t="s">
        <v>190</v>
      </c>
      <c r="R174" s="11" t="s">
        <v>190</v>
      </c>
      <c r="S174" s="11" t="s">
        <v>190</v>
      </c>
      <c r="T174" s="11" t="s">
        <v>190</v>
      </c>
      <c r="U174" s="11" t="s">
        <v>190</v>
      </c>
      <c r="V174" s="11" t="s">
        <v>190</v>
      </c>
      <c r="W174" s="11" t="s">
        <v>190</v>
      </c>
      <c r="X174" s="11" t="s">
        <v>190</v>
      </c>
      <c r="Y174" s="11" t="s">
        <v>190</v>
      </c>
      <c r="Z174" s="11" t="s">
        <v>190</v>
      </c>
      <c r="AA174" s="16" t="s">
        <v>994</v>
      </c>
      <c r="AB174" s="11" t="s">
        <v>190</v>
      </c>
      <c r="AC174" s="12"/>
      <c r="AD174" s="12" t="s">
        <v>1039</v>
      </c>
      <c r="AE174" s="13" t="s">
        <v>360</v>
      </c>
      <c r="AF174" s="14" t="s">
        <v>360</v>
      </c>
      <c r="AG174" s="12"/>
      <c r="AH174" s="12"/>
    </row>
    <row r="175" spans="2:34" ht="10.25" customHeight="1" x14ac:dyDescent="0.55000000000000004">
      <c r="B175" s="13" t="s">
        <v>995</v>
      </c>
      <c r="C175" s="13">
        <v>166</v>
      </c>
      <c r="D175" s="14" t="s">
        <v>88</v>
      </c>
      <c r="E175" s="14" t="s">
        <v>518</v>
      </c>
      <c r="F175" s="14" t="s">
        <v>420</v>
      </c>
      <c r="G175" s="11" t="s">
        <v>190</v>
      </c>
      <c r="H175" s="11" t="s">
        <v>190</v>
      </c>
      <c r="I175" s="11" t="s">
        <v>190</v>
      </c>
      <c r="J175" s="11" t="s">
        <v>190</v>
      </c>
      <c r="K175" s="11" t="s">
        <v>190</v>
      </c>
      <c r="L175" s="11" t="s">
        <v>190</v>
      </c>
      <c r="M175" s="14" t="s">
        <v>755</v>
      </c>
      <c r="N175" s="11" t="s">
        <v>190</v>
      </c>
      <c r="O175" s="11" t="s">
        <v>190</v>
      </c>
      <c r="P175" s="11" t="s">
        <v>190</v>
      </c>
      <c r="Q175" s="11" t="s">
        <v>190</v>
      </c>
      <c r="R175" s="11" t="s">
        <v>190</v>
      </c>
      <c r="S175" s="11" t="s">
        <v>190</v>
      </c>
      <c r="T175" s="11" t="s">
        <v>190</v>
      </c>
      <c r="U175" s="11" t="s">
        <v>190</v>
      </c>
      <c r="V175" s="11" t="s">
        <v>190</v>
      </c>
      <c r="W175" s="11" t="s">
        <v>190</v>
      </c>
      <c r="X175" s="11" t="s">
        <v>190</v>
      </c>
      <c r="Y175" s="150" t="s">
        <v>230</v>
      </c>
      <c r="Z175" s="11" t="s">
        <v>190</v>
      </c>
      <c r="AA175" s="15"/>
      <c r="AB175" s="19"/>
      <c r="AC175" s="12" t="s">
        <v>1182</v>
      </c>
      <c r="AD175" s="12"/>
      <c r="AE175" s="13" t="s">
        <v>1044</v>
      </c>
      <c r="AF175" s="14" t="s">
        <v>1047</v>
      </c>
      <c r="AG175" s="12"/>
      <c r="AH175" s="12"/>
    </row>
    <row r="176" spans="2:34" ht="10.25" customHeight="1" x14ac:dyDescent="0.55000000000000004">
      <c r="B176" s="13" t="s">
        <v>89</v>
      </c>
      <c r="C176" s="13">
        <v>167</v>
      </c>
      <c r="D176" s="14" t="s">
        <v>89</v>
      </c>
      <c r="E176" s="14" t="s">
        <v>411</v>
      </c>
      <c r="F176" s="14" t="s">
        <v>522</v>
      </c>
      <c r="G176" s="11" t="s">
        <v>190</v>
      </c>
      <c r="H176" s="11" t="s">
        <v>190</v>
      </c>
      <c r="I176" s="11" t="s">
        <v>190</v>
      </c>
      <c r="J176" s="11" t="s">
        <v>190</v>
      </c>
      <c r="K176" s="11" t="s">
        <v>190</v>
      </c>
      <c r="L176" s="11" t="s">
        <v>190</v>
      </c>
      <c r="M176" s="14" t="s">
        <v>756</v>
      </c>
      <c r="N176" s="11" t="s">
        <v>190</v>
      </c>
      <c r="O176" s="11" t="s">
        <v>190</v>
      </c>
      <c r="P176" s="11" t="s">
        <v>190</v>
      </c>
      <c r="Q176" s="11" t="s">
        <v>190</v>
      </c>
      <c r="R176" s="11" t="s">
        <v>190</v>
      </c>
      <c r="S176" s="11" t="s">
        <v>190</v>
      </c>
      <c r="T176" s="11" t="s">
        <v>190</v>
      </c>
      <c r="U176" s="11" t="s">
        <v>190</v>
      </c>
      <c r="V176" s="11" t="s">
        <v>190</v>
      </c>
      <c r="W176" s="11" t="s">
        <v>190</v>
      </c>
      <c r="X176" s="11" t="s">
        <v>190</v>
      </c>
      <c r="Y176" s="150" t="s">
        <v>231</v>
      </c>
      <c r="Z176" s="11" t="s">
        <v>190</v>
      </c>
      <c r="AA176" s="15"/>
      <c r="AB176" s="19"/>
      <c r="AC176" s="12" t="s">
        <v>1182</v>
      </c>
      <c r="AD176" s="12"/>
      <c r="AE176" s="13" t="s">
        <v>1044</v>
      </c>
      <c r="AF176" s="14" t="s">
        <v>1047</v>
      </c>
      <c r="AG176" s="12"/>
      <c r="AH176" s="12"/>
    </row>
    <row r="177" spans="2:34" ht="10.25" customHeight="1" x14ac:dyDescent="0.55000000000000004">
      <c r="B177" s="13" t="s">
        <v>90</v>
      </c>
      <c r="C177" s="13">
        <v>168</v>
      </c>
      <c r="D177" s="14" t="s">
        <v>90</v>
      </c>
      <c r="E177" s="14" t="s">
        <v>527</v>
      </c>
      <c r="F177" s="14" t="s">
        <v>415</v>
      </c>
      <c r="G177" s="11" t="s">
        <v>190</v>
      </c>
      <c r="H177" s="11" t="s">
        <v>190</v>
      </c>
      <c r="I177" s="11" t="s">
        <v>190</v>
      </c>
      <c r="J177" s="11" t="s">
        <v>190</v>
      </c>
      <c r="K177" s="11" t="s">
        <v>190</v>
      </c>
      <c r="L177" s="11" t="s">
        <v>190</v>
      </c>
      <c r="M177" s="14" t="s">
        <v>757</v>
      </c>
      <c r="N177" s="11" t="s">
        <v>190</v>
      </c>
      <c r="O177" s="11" t="s">
        <v>190</v>
      </c>
      <c r="P177" s="11" t="s">
        <v>190</v>
      </c>
      <c r="Q177" s="11" t="s">
        <v>190</v>
      </c>
      <c r="R177" s="11" t="s">
        <v>190</v>
      </c>
      <c r="S177" s="11" t="s">
        <v>190</v>
      </c>
      <c r="T177" s="11" t="s">
        <v>190</v>
      </c>
      <c r="U177" s="11" t="s">
        <v>190</v>
      </c>
      <c r="V177" s="11" t="s">
        <v>190</v>
      </c>
      <c r="W177" s="11" t="s">
        <v>190</v>
      </c>
      <c r="X177" s="11" t="s">
        <v>190</v>
      </c>
      <c r="Y177" s="150" t="s">
        <v>232</v>
      </c>
      <c r="Z177" s="11" t="s">
        <v>190</v>
      </c>
      <c r="AA177" s="15"/>
      <c r="AB177" s="19"/>
      <c r="AC177" s="12" t="s">
        <v>1182</v>
      </c>
      <c r="AD177" s="12"/>
      <c r="AE177" s="13" t="s">
        <v>1044</v>
      </c>
      <c r="AF177" s="14" t="s">
        <v>1047</v>
      </c>
      <c r="AG177" s="12"/>
      <c r="AH177" s="12"/>
    </row>
    <row r="178" spans="2:34" ht="10.25" customHeight="1" x14ac:dyDescent="0.55000000000000004">
      <c r="B178" s="13" t="s">
        <v>91</v>
      </c>
      <c r="C178" s="13">
        <v>169</v>
      </c>
      <c r="D178" s="14" t="s">
        <v>91</v>
      </c>
      <c r="E178" s="14" t="s">
        <v>407</v>
      </c>
      <c r="F178" s="14" t="s">
        <v>532</v>
      </c>
      <c r="G178" s="11" t="s">
        <v>190</v>
      </c>
      <c r="H178" s="11" t="s">
        <v>190</v>
      </c>
      <c r="I178" s="11" t="s">
        <v>190</v>
      </c>
      <c r="J178" s="11" t="s">
        <v>190</v>
      </c>
      <c r="K178" s="11" t="s">
        <v>190</v>
      </c>
      <c r="L178" s="11" t="s">
        <v>190</v>
      </c>
      <c r="M178" s="14" t="s">
        <v>758</v>
      </c>
      <c r="N178" s="11" t="s">
        <v>190</v>
      </c>
      <c r="O178" s="11" t="s">
        <v>190</v>
      </c>
      <c r="P178" s="11" t="s">
        <v>190</v>
      </c>
      <c r="Q178" s="11" t="s">
        <v>190</v>
      </c>
      <c r="R178" s="11" t="s">
        <v>190</v>
      </c>
      <c r="S178" s="11" t="s">
        <v>190</v>
      </c>
      <c r="T178" s="11" t="s">
        <v>190</v>
      </c>
      <c r="U178" s="11" t="s">
        <v>190</v>
      </c>
      <c r="V178" s="11" t="s">
        <v>190</v>
      </c>
      <c r="W178" s="11" t="s">
        <v>190</v>
      </c>
      <c r="X178" s="11" t="s">
        <v>190</v>
      </c>
      <c r="Y178" s="150" t="s">
        <v>233</v>
      </c>
      <c r="Z178" s="11" t="s">
        <v>190</v>
      </c>
      <c r="AA178" s="15"/>
      <c r="AB178" s="19"/>
      <c r="AC178" s="12" t="s">
        <v>1182</v>
      </c>
      <c r="AD178" s="12"/>
      <c r="AE178" s="13" t="s">
        <v>1044</v>
      </c>
      <c r="AF178" s="14" t="s">
        <v>1047</v>
      </c>
      <c r="AG178" s="12"/>
      <c r="AH178" s="12"/>
    </row>
    <row r="179" spans="2:34" ht="10.25" customHeight="1" x14ac:dyDescent="0.55000000000000004">
      <c r="B179" s="13" t="s">
        <v>92</v>
      </c>
      <c r="C179" s="13">
        <v>170</v>
      </c>
      <c r="D179" s="14" t="s">
        <v>92</v>
      </c>
      <c r="E179" s="14" t="s">
        <v>535</v>
      </c>
      <c r="F179" s="14" t="s">
        <v>412</v>
      </c>
      <c r="G179" s="11" t="s">
        <v>190</v>
      </c>
      <c r="H179" s="11" t="s">
        <v>190</v>
      </c>
      <c r="I179" s="11" t="s">
        <v>190</v>
      </c>
      <c r="J179" s="11" t="s">
        <v>190</v>
      </c>
      <c r="K179" s="11" t="s">
        <v>190</v>
      </c>
      <c r="L179" s="11" t="s">
        <v>190</v>
      </c>
      <c r="M179" s="14" t="s">
        <v>759</v>
      </c>
      <c r="N179" s="11" t="s">
        <v>190</v>
      </c>
      <c r="O179" s="11" t="s">
        <v>190</v>
      </c>
      <c r="P179" s="11" t="s">
        <v>190</v>
      </c>
      <c r="Q179" s="11" t="s">
        <v>190</v>
      </c>
      <c r="R179" s="11" t="s">
        <v>190</v>
      </c>
      <c r="S179" s="11" t="s">
        <v>190</v>
      </c>
      <c r="T179" s="11" t="s">
        <v>190</v>
      </c>
      <c r="U179" s="11" t="s">
        <v>190</v>
      </c>
      <c r="V179" s="11" t="s">
        <v>190</v>
      </c>
      <c r="W179" s="11" t="s">
        <v>190</v>
      </c>
      <c r="X179" s="11" t="s">
        <v>190</v>
      </c>
      <c r="Y179" s="150" t="s">
        <v>234</v>
      </c>
      <c r="Z179" s="11" t="s">
        <v>190</v>
      </c>
      <c r="AA179" s="15"/>
      <c r="AB179" s="19"/>
      <c r="AC179" s="12" t="s">
        <v>1182</v>
      </c>
      <c r="AD179" s="12"/>
      <c r="AE179" s="13" t="s">
        <v>1044</v>
      </c>
      <c r="AF179" s="14" t="s">
        <v>1047</v>
      </c>
      <c r="AG179" s="12"/>
      <c r="AH179" s="12"/>
    </row>
    <row r="180" spans="2:34" ht="10.25" customHeight="1" x14ac:dyDescent="0.55000000000000004">
      <c r="B180" s="13" t="s">
        <v>93</v>
      </c>
      <c r="C180" s="13">
        <v>171</v>
      </c>
      <c r="D180" s="14" t="s">
        <v>93</v>
      </c>
      <c r="E180" s="14" t="s">
        <v>403</v>
      </c>
      <c r="F180" s="14" t="s">
        <v>537</v>
      </c>
      <c r="G180" s="11" t="s">
        <v>190</v>
      </c>
      <c r="H180" s="11" t="s">
        <v>190</v>
      </c>
      <c r="I180" s="11" t="s">
        <v>190</v>
      </c>
      <c r="J180" s="11" t="s">
        <v>190</v>
      </c>
      <c r="K180" s="11" t="s">
        <v>190</v>
      </c>
      <c r="L180" s="11" t="s">
        <v>190</v>
      </c>
      <c r="M180" s="14" t="s">
        <v>760</v>
      </c>
      <c r="N180" s="11" t="s">
        <v>190</v>
      </c>
      <c r="O180" s="11" t="s">
        <v>190</v>
      </c>
      <c r="P180" s="11" t="s">
        <v>190</v>
      </c>
      <c r="Q180" s="11" t="s">
        <v>190</v>
      </c>
      <c r="R180" s="11" t="s">
        <v>190</v>
      </c>
      <c r="S180" s="11" t="s">
        <v>190</v>
      </c>
      <c r="T180" s="11" t="s">
        <v>190</v>
      </c>
      <c r="U180" s="11" t="s">
        <v>190</v>
      </c>
      <c r="V180" s="11" t="s">
        <v>190</v>
      </c>
      <c r="W180" s="11" t="s">
        <v>190</v>
      </c>
      <c r="X180" s="11" t="s">
        <v>190</v>
      </c>
      <c r="Y180" s="150" t="s">
        <v>235</v>
      </c>
      <c r="Z180" s="11" t="s">
        <v>190</v>
      </c>
      <c r="AA180" s="15"/>
      <c r="AB180" s="19"/>
      <c r="AC180" s="12" t="s">
        <v>1182</v>
      </c>
      <c r="AD180" s="12"/>
      <c r="AE180" s="13" t="s">
        <v>1044</v>
      </c>
      <c r="AF180" s="14" t="s">
        <v>1047</v>
      </c>
      <c r="AG180" s="12"/>
      <c r="AH180" s="12"/>
    </row>
    <row r="181" spans="2:34" ht="10.25" customHeight="1" x14ac:dyDescent="0.55000000000000004">
      <c r="B181" s="13" t="s">
        <v>94</v>
      </c>
      <c r="C181" s="13">
        <v>172</v>
      </c>
      <c r="D181" s="14" t="s">
        <v>94</v>
      </c>
      <c r="E181" s="14" t="s">
        <v>538</v>
      </c>
      <c r="F181" s="14" t="s">
        <v>408</v>
      </c>
      <c r="G181" s="11" t="s">
        <v>190</v>
      </c>
      <c r="H181" s="11" t="s">
        <v>190</v>
      </c>
      <c r="I181" s="11" t="s">
        <v>190</v>
      </c>
      <c r="J181" s="11" t="s">
        <v>190</v>
      </c>
      <c r="K181" s="11" t="s">
        <v>190</v>
      </c>
      <c r="L181" s="11" t="s">
        <v>190</v>
      </c>
      <c r="M181" s="149" t="s">
        <v>761</v>
      </c>
      <c r="N181" s="11" t="s">
        <v>190</v>
      </c>
      <c r="O181" s="11" t="s">
        <v>190</v>
      </c>
      <c r="P181" s="11" t="s">
        <v>190</v>
      </c>
      <c r="Q181" s="11" t="s">
        <v>190</v>
      </c>
      <c r="R181" s="11" t="s">
        <v>190</v>
      </c>
      <c r="S181" s="11" t="s">
        <v>190</v>
      </c>
      <c r="T181" s="11" t="s">
        <v>190</v>
      </c>
      <c r="U181" s="11" t="s">
        <v>190</v>
      </c>
      <c r="V181" s="11" t="s">
        <v>190</v>
      </c>
      <c r="W181" s="11" t="s">
        <v>190</v>
      </c>
      <c r="X181" s="11" t="s">
        <v>190</v>
      </c>
      <c r="Y181" s="150" t="s">
        <v>236</v>
      </c>
      <c r="Z181" s="11" t="s">
        <v>190</v>
      </c>
      <c r="AA181" s="15"/>
      <c r="AB181" s="19"/>
      <c r="AC181" s="12" t="s">
        <v>1182</v>
      </c>
      <c r="AD181" s="12"/>
      <c r="AE181" s="13" t="s">
        <v>1044</v>
      </c>
      <c r="AF181" s="14" t="s">
        <v>1047</v>
      </c>
      <c r="AG181" s="12"/>
      <c r="AH181" s="12"/>
    </row>
    <row r="182" spans="2:34" ht="10.25" customHeight="1" x14ac:dyDescent="0.55000000000000004">
      <c r="B182" s="13" t="s">
        <v>96</v>
      </c>
      <c r="C182" s="13">
        <v>173</v>
      </c>
      <c r="D182" s="14" t="s">
        <v>96</v>
      </c>
      <c r="E182" s="14" t="s">
        <v>398</v>
      </c>
      <c r="F182" s="14" t="s">
        <v>539</v>
      </c>
      <c r="G182" s="11" t="s">
        <v>190</v>
      </c>
      <c r="H182" s="11" t="s">
        <v>190</v>
      </c>
      <c r="I182" s="11" t="s">
        <v>190</v>
      </c>
      <c r="J182" s="11" t="s">
        <v>190</v>
      </c>
      <c r="K182" s="11" t="s">
        <v>190</v>
      </c>
      <c r="L182" s="11" t="s">
        <v>190</v>
      </c>
      <c r="M182" s="149" t="s">
        <v>762</v>
      </c>
      <c r="N182" s="11" t="s">
        <v>190</v>
      </c>
      <c r="O182" s="11" t="s">
        <v>190</v>
      </c>
      <c r="P182" s="11" t="s">
        <v>190</v>
      </c>
      <c r="Q182" s="11" t="s">
        <v>190</v>
      </c>
      <c r="R182" s="11" t="s">
        <v>190</v>
      </c>
      <c r="S182" s="11" t="s">
        <v>190</v>
      </c>
      <c r="T182" s="11" t="s">
        <v>190</v>
      </c>
      <c r="U182" s="11" t="s">
        <v>190</v>
      </c>
      <c r="V182" s="11" t="s">
        <v>190</v>
      </c>
      <c r="W182" s="11" t="s">
        <v>190</v>
      </c>
      <c r="X182" s="11" t="s">
        <v>190</v>
      </c>
      <c r="Y182" s="150" t="s">
        <v>237</v>
      </c>
      <c r="Z182" s="11" t="s">
        <v>190</v>
      </c>
      <c r="AA182" s="15"/>
      <c r="AB182" s="19"/>
      <c r="AC182" s="12" t="s">
        <v>1182</v>
      </c>
      <c r="AD182" s="12"/>
      <c r="AE182" s="13" t="s">
        <v>1044</v>
      </c>
      <c r="AF182" s="14" t="s">
        <v>1047</v>
      </c>
      <c r="AG182" s="12"/>
      <c r="AH182" s="12"/>
    </row>
    <row r="183" spans="2:34" ht="10.25" customHeight="1" x14ac:dyDescent="0.55000000000000004">
      <c r="B183" s="16" t="s">
        <v>994</v>
      </c>
      <c r="C183" s="76">
        <v>174</v>
      </c>
      <c r="D183" s="11" t="s">
        <v>190</v>
      </c>
      <c r="E183" s="11" t="s">
        <v>190</v>
      </c>
      <c r="F183" s="11" t="s">
        <v>190</v>
      </c>
      <c r="G183" s="11" t="s">
        <v>190</v>
      </c>
      <c r="H183" s="11" t="s">
        <v>190</v>
      </c>
      <c r="I183" s="11" t="s">
        <v>190</v>
      </c>
      <c r="J183" s="11" t="s">
        <v>190</v>
      </c>
      <c r="K183" s="11" t="s">
        <v>190</v>
      </c>
      <c r="L183" s="11" t="s">
        <v>190</v>
      </c>
      <c r="M183" s="11" t="s">
        <v>190</v>
      </c>
      <c r="N183" s="11" t="s">
        <v>190</v>
      </c>
      <c r="O183" s="11" t="s">
        <v>190</v>
      </c>
      <c r="P183" s="11" t="s">
        <v>190</v>
      </c>
      <c r="Q183" s="11" t="s">
        <v>190</v>
      </c>
      <c r="R183" s="11" t="s">
        <v>190</v>
      </c>
      <c r="S183" s="11" t="s">
        <v>190</v>
      </c>
      <c r="T183" s="11" t="s">
        <v>190</v>
      </c>
      <c r="U183" s="11" t="s">
        <v>190</v>
      </c>
      <c r="V183" s="11" t="s">
        <v>190</v>
      </c>
      <c r="W183" s="11" t="s">
        <v>190</v>
      </c>
      <c r="X183" s="11" t="s">
        <v>190</v>
      </c>
      <c r="Y183" s="11" t="s">
        <v>190</v>
      </c>
      <c r="Z183" s="11" t="s">
        <v>190</v>
      </c>
      <c r="AA183" s="16" t="s">
        <v>994</v>
      </c>
      <c r="AB183" s="11"/>
      <c r="AC183" s="12"/>
      <c r="AD183" s="12" t="s">
        <v>1039</v>
      </c>
      <c r="AE183" s="13" t="s">
        <v>360</v>
      </c>
      <c r="AF183" s="14" t="s">
        <v>360</v>
      </c>
      <c r="AG183" s="12"/>
      <c r="AH183" s="12"/>
    </row>
    <row r="184" spans="2:34" ht="10.25" customHeight="1" x14ac:dyDescent="0.55000000000000004">
      <c r="B184" s="9" t="s">
        <v>993</v>
      </c>
      <c r="C184" s="76">
        <v>175</v>
      </c>
      <c r="D184" s="11" t="s">
        <v>190</v>
      </c>
      <c r="E184" s="11" t="s">
        <v>190</v>
      </c>
      <c r="F184" s="11" t="s">
        <v>190</v>
      </c>
      <c r="G184" s="11" t="s">
        <v>190</v>
      </c>
      <c r="H184" s="11" t="s">
        <v>190</v>
      </c>
      <c r="I184" s="11" t="s">
        <v>190</v>
      </c>
      <c r="J184" s="11" t="s">
        <v>190</v>
      </c>
      <c r="K184" s="11" t="s">
        <v>190</v>
      </c>
      <c r="L184" s="11" t="s">
        <v>190</v>
      </c>
      <c r="M184" s="11" t="s">
        <v>190</v>
      </c>
      <c r="N184" s="11" t="s">
        <v>190</v>
      </c>
      <c r="O184" s="11" t="s">
        <v>190</v>
      </c>
      <c r="P184" s="11" t="s">
        <v>190</v>
      </c>
      <c r="Q184" s="11" t="s">
        <v>190</v>
      </c>
      <c r="R184" s="11" t="s">
        <v>190</v>
      </c>
      <c r="S184" s="11" t="s">
        <v>190</v>
      </c>
      <c r="T184" s="11" t="s">
        <v>190</v>
      </c>
      <c r="U184" s="11" t="s">
        <v>190</v>
      </c>
      <c r="V184" s="11" t="s">
        <v>190</v>
      </c>
      <c r="W184" s="11" t="s">
        <v>190</v>
      </c>
      <c r="X184" s="11" t="s">
        <v>190</v>
      </c>
      <c r="Y184" s="11" t="s">
        <v>190</v>
      </c>
      <c r="Z184" s="11" t="s">
        <v>190</v>
      </c>
      <c r="AA184" s="9" t="s">
        <v>993</v>
      </c>
      <c r="AB184" s="11" t="s">
        <v>190</v>
      </c>
      <c r="AC184" s="12"/>
      <c r="AD184" s="12" t="s">
        <v>1040</v>
      </c>
      <c r="AE184" s="13" t="s">
        <v>360</v>
      </c>
      <c r="AF184" s="14" t="s">
        <v>360</v>
      </c>
      <c r="AG184" s="12"/>
      <c r="AH184" s="12"/>
    </row>
    <row r="185" spans="2:34" ht="10.25" customHeight="1" x14ac:dyDescent="0.55000000000000004">
      <c r="B185" s="16" t="s">
        <v>990</v>
      </c>
      <c r="C185" s="10">
        <v>176</v>
      </c>
      <c r="D185" s="11" t="s">
        <v>190</v>
      </c>
      <c r="E185" s="11" t="s">
        <v>190</v>
      </c>
      <c r="F185" s="11" t="s">
        <v>190</v>
      </c>
      <c r="G185" s="11" t="s">
        <v>190</v>
      </c>
      <c r="H185" s="11" t="s">
        <v>190</v>
      </c>
      <c r="I185" s="11" t="s">
        <v>190</v>
      </c>
      <c r="J185" s="11" t="s">
        <v>190</v>
      </c>
      <c r="K185" s="11" t="s">
        <v>190</v>
      </c>
      <c r="L185" s="11" t="s">
        <v>190</v>
      </c>
      <c r="M185" s="11" t="s">
        <v>190</v>
      </c>
      <c r="N185" s="11" t="s">
        <v>190</v>
      </c>
      <c r="O185" s="11" t="s">
        <v>190</v>
      </c>
      <c r="P185" s="11" t="s">
        <v>190</v>
      </c>
      <c r="Q185" s="11" t="s">
        <v>190</v>
      </c>
      <c r="R185" s="11" t="s">
        <v>190</v>
      </c>
      <c r="S185" s="11" t="s">
        <v>190</v>
      </c>
      <c r="T185" s="11" t="s">
        <v>190</v>
      </c>
      <c r="U185" s="11" t="s">
        <v>190</v>
      </c>
      <c r="V185" s="11" t="s">
        <v>190</v>
      </c>
      <c r="W185" s="11" t="s">
        <v>190</v>
      </c>
      <c r="X185" s="11" t="s">
        <v>190</v>
      </c>
      <c r="Y185" s="11" t="s">
        <v>190</v>
      </c>
      <c r="Z185" s="11" t="s">
        <v>190</v>
      </c>
      <c r="AA185" s="16" t="s">
        <v>990</v>
      </c>
      <c r="AB185" s="11" t="s">
        <v>190</v>
      </c>
      <c r="AC185" s="12"/>
      <c r="AD185" s="12" t="s">
        <v>1030</v>
      </c>
      <c r="AE185" s="13" t="s">
        <v>360</v>
      </c>
      <c r="AF185" s="14" t="s">
        <v>360</v>
      </c>
      <c r="AG185" s="12"/>
      <c r="AH185" s="12"/>
    </row>
    <row r="188" spans="2:34" ht="10.25" customHeight="1" x14ac:dyDescent="0.55000000000000004">
      <c r="B188" s="4" t="s">
        <v>641</v>
      </c>
    </row>
    <row r="189" spans="2:34" ht="10.25" customHeight="1" x14ac:dyDescent="0.55000000000000004">
      <c r="B189" s="4" t="s">
        <v>1049</v>
      </c>
    </row>
    <row r="190" spans="2:34" ht="10.25" customHeight="1" x14ac:dyDescent="0.55000000000000004">
      <c r="B190" s="4" t="s">
        <v>642</v>
      </c>
      <c r="E190" s="4"/>
    </row>
    <row r="191" spans="2:34" ht="10.25" customHeight="1" x14ac:dyDescent="0.55000000000000004">
      <c r="B191" s="4"/>
    </row>
    <row r="192" spans="2:34" ht="10.25" customHeight="1" x14ac:dyDescent="0.55000000000000004">
      <c r="B192" s="87"/>
    </row>
    <row r="193" spans="2:19" ht="10.25" customHeight="1" x14ac:dyDescent="0.55000000000000004">
      <c r="B193" s="4"/>
    </row>
    <row r="203" spans="2:19" ht="15" customHeight="1" x14ac:dyDescent="0.55000000000000004">
      <c r="D203" s="159" t="s">
        <v>653</v>
      </c>
      <c r="E203" s="159"/>
      <c r="F203" s="159"/>
      <c r="G203" s="159"/>
      <c r="H203" s="159"/>
      <c r="I203" s="159"/>
      <c r="J203" s="159"/>
      <c r="K203" s="159"/>
      <c r="L203" s="159"/>
      <c r="M203" s="159"/>
      <c r="N203" s="159"/>
      <c r="O203" s="159"/>
      <c r="P203" s="159"/>
      <c r="Q203" s="159"/>
      <c r="R203" s="159"/>
      <c r="S203" s="159"/>
    </row>
    <row r="204" spans="2:19" ht="172" customHeight="1" x14ac:dyDescent="0.55000000000000004">
      <c r="D204" s="160" t="s">
        <v>654</v>
      </c>
      <c r="E204" s="160"/>
      <c r="F204" s="160"/>
      <c r="G204" s="160"/>
      <c r="H204" s="160"/>
      <c r="I204" s="160"/>
      <c r="J204" s="160"/>
      <c r="K204" s="160"/>
      <c r="L204" s="160"/>
      <c r="M204" s="160"/>
      <c r="N204" s="160"/>
      <c r="O204" s="160"/>
      <c r="P204" s="160"/>
      <c r="Q204" s="160"/>
      <c r="R204" s="160"/>
      <c r="S204" s="160"/>
    </row>
  </sheetData>
  <sheetProtection algorithmName="SHA-512" hashValue="wrlMT3z0+iBh+68dUY1C8EUfWyCFQq4YErwuNEzMM0I74Qc6XfR6u27XR9URAcsd1mtMb6SkWhjcve9T8tQpSg==" saltValue="PE8qIpMzSD21kpHanHUTcA==" spinCount="100000" sheet="1" objects="1" scenarios="1" formatCells="0" formatColumns="0" formatRows="0" insertColumns="0" insertRows="0" insertHyperlinks="0" deleteColumns="0" deleteRows="0" selectLockedCells="1" sort="0" autoFilter="0" pivotTables="0"/>
  <mergeCells count="19">
    <mergeCell ref="T7:X7"/>
    <mergeCell ref="D203:S203"/>
    <mergeCell ref="D204:S204"/>
    <mergeCell ref="B7:B9"/>
    <mergeCell ref="I7:K7"/>
    <mergeCell ref="C7:C9"/>
    <mergeCell ref="D7:D9"/>
    <mergeCell ref="Y7:Z9"/>
    <mergeCell ref="AD7:AD9"/>
    <mergeCell ref="AG8:AG9"/>
    <mergeCell ref="AH8:AH9"/>
    <mergeCell ref="AG7:AH7"/>
    <mergeCell ref="AA8:AA9"/>
    <mergeCell ref="AC8:AC9"/>
    <mergeCell ref="AA7:AC7"/>
    <mergeCell ref="AB8:AB9"/>
    <mergeCell ref="AE7:AF7"/>
    <mergeCell ref="AE8:AE9"/>
    <mergeCell ref="AF8:AF9"/>
  </mergeCells>
  <phoneticPr fontId="3"/>
  <conditionalFormatting sqref="AA11:AA14 AA17:AA20 AA23:AA26 AA109:AA112">
    <cfRule type="notContainsBlanks" dxfId="175" priority="39">
      <formula>LEN(TRIM(AA11))&gt;0</formula>
    </cfRule>
  </conditionalFormatting>
  <conditionalFormatting sqref="AA11:AA14 AA55:AA74 AA99:AA107 AA143:AA152 AA165:AA172 AA17:AA20 AA23:AA26 AA77:AA96 AA109:AA112 AA118:AA137 AA175:AA182 AA155:AA162 AA32:AA52">
    <cfRule type="duplicateValues" dxfId="174" priority="32"/>
  </conditionalFormatting>
  <conditionalFormatting sqref="AA32">
    <cfRule type="duplicateValues" dxfId="173" priority="18"/>
  </conditionalFormatting>
  <conditionalFormatting sqref="AA32:AA52">
    <cfRule type="notContainsBlanks" dxfId="172" priority="1">
      <formula>LEN(TRIM(AA32))&gt;0</formula>
    </cfRule>
  </conditionalFormatting>
  <conditionalFormatting sqref="AA33:AA34">
    <cfRule type="duplicateValues" dxfId="171" priority="2"/>
  </conditionalFormatting>
  <conditionalFormatting sqref="AA52">
    <cfRule type="duplicateValues" dxfId="170" priority="15"/>
  </conditionalFormatting>
  <conditionalFormatting sqref="AA55:AA56">
    <cfRule type="duplicateValues" dxfId="169" priority="12"/>
  </conditionalFormatting>
  <conditionalFormatting sqref="AA55:AA74">
    <cfRule type="notContainsBlanks" dxfId="168" priority="10">
      <formula>LEN(TRIM(AA55))&gt;0</formula>
    </cfRule>
  </conditionalFormatting>
  <conditionalFormatting sqref="AA77:AA96">
    <cfRule type="notContainsBlanks" dxfId="167" priority="36">
      <formula>LEN(TRIM(AA77))&gt;0</formula>
    </cfRule>
  </conditionalFormatting>
  <conditionalFormatting sqref="AA99:AA107">
    <cfRule type="notContainsBlanks" dxfId="166" priority="28">
      <formula>LEN(TRIM(AA99))&gt;0</formula>
    </cfRule>
  </conditionalFormatting>
  <conditionalFormatting sqref="AA118:AA137">
    <cfRule type="notContainsBlanks" dxfId="165" priority="27">
      <formula>LEN(TRIM(AA118))&gt;0</formula>
    </cfRule>
  </conditionalFormatting>
  <conditionalFormatting sqref="AA143:AA152">
    <cfRule type="notContainsBlanks" dxfId="164" priority="26">
      <formula>LEN(TRIM(AA143))&gt;0</formula>
    </cfRule>
  </conditionalFormatting>
  <conditionalFormatting sqref="AA155:AA162">
    <cfRule type="notContainsBlanks" dxfId="163" priority="34">
      <formula>LEN(TRIM(AA155))&gt;0</formula>
    </cfRule>
  </conditionalFormatting>
  <conditionalFormatting sqref="AA165">
    <cfRule type="duplicateValues" dxfId="162" priority="8"/>
  </conditionalFormatting>
  <conditionalFormatting sqref="AA165:AA172">
    <cfRule type="notContainsBlanks" dxfId="161" priority="9">
      <formula>LEN(TRIM(AA165))&gt;0</formula>
    </cfRule>
  </conditionalFormatting>
  <conditionalFormatting sqref="AA175:AB182">
    <cfRule type="notContainsBlanks" dxfId="160" priority="3">
      <formula>LEN(TRIM(AA175))&gt;0</formula>
    </cfRule>
  </conditionalFormatting>
  <dataValidations count="148">
    <dataValidation type="list" allowBlank="1" showInputMessage="1" showErrorMessage="1" sqref="AA144" xr:uid="{7791995E-215B-4E57-BFA8-E6B2DA26410B}">
      <formula1>$D$144:$Z$144</formula1>
    </dataValidation>
    <dataValidation type="list" allowBlank="1" showInputMessage="1" showErrorMessage="1" sqref="AA143" xr:uid="{29931B08-3A72-4453-8A9D-FB25781692FA}">
      <formula1>$D$143:$Z$143</formula1>
    </dataValidation>
    <dataValidation type="list" allowBlank="1" showInputMessage="1" showErrorMessage="1" sqref="AA137" xr:uid="{13106D1E-4E9E-4A4B-B5D6-75D2680B82AF}">
      <formula1>$D$137:$Z$137</formula1>
    </dataValidation>
    <dataValidation type="list" allowBlank="1" showInputMessage="1" showErrorMessage="1" sqref="AA136" xr:uid="{75D59EB1-B420-40FE-9F17-EF0474DE226E}">
      <formula1>$D$136:$Z$136</formula1>
    </dataValidation>
    <dataValidation type="list" allowBlank="1" showInputMessage="1" showErrorMessage="1" sqref="AA135" xr:uid="{DB93A5B9-8999-4D5D-994C-AE0E14F8031F}">
      <formula1>$D$135:$Z$135</formula1>
    </dataValidation>
    <dataValidation type="list" allowBlank="1" showInputMessage="1" showErrorMessage="1" sqref="AA134" xr:uid="{D1FE809A-1C5E-474D-B99D-C71BF4298747}">
      <formula1>$D$134:$Z$134</formula1>
    </dataValidation>
    <dataValidation type="list" allowBlank="1" showInputMessage="1" showErrorMessage="1" sqref="AA133" xr:uid="{C25F0E85-84D9-42D4-AEBD-2B52E0C3C6A9}">
      <formula1>$D$133:$Z$133</formula1>
    </dataValidation>
    <dataValidation type="list" allowBlank="1" showInputMessage="1" showErrorMessage="1" sqref="AA132" xr:uid="{8B5ECA50-0642-4C5A-9ED0-90E48AD7E3B5}">
      <formula1>$D$132:$Z$132</formula1>
    </dataValidation>
    <dataValidation type="list" allowBlank="1" showInputMessage="1" showErrorMessage="1" sqref="AA131" xr:uid="{9D86B8D5-505E-4755-9566-4B7762D7A3A6}">
      <formula1>$D$131:$Z$131</formula1>
    </dataValidation>
    <dataValidation type="list" allowBlank="1" showInputMessage="1" showErrorMessage="1" sqref="AA130" xr:uid="{9058D7AA-3C4B-4CCC-A1EC-42E8C8C12B43}">
      <formula1>$D$130:$Z$130</formula1>
    </dataValidation>
    <dataValidation type="list" allowBlank="1" showInputMessage="1" showErrorMessage="1" sqref="AA129" xr:uid="{A2648470-8129-41E2-9531-4376E072A40D}">
      <formula1>$D$129:$Z$129</formula1>
    </dataValidation>
    <dataValidation type="list" allowBlank="1" showInputMessage="1" showErrorMessage="1" sqref="AA159" xr:uid="{198E8E3E-9F13-4366-A1E5-EE4CB3A6D4DD}">
      <formula1>$D$159:$Z$159</formula1>
    </dataValidation>
    <dataValidation type="list" allowBlank="1" showInputMessage="1" showErrorMessage="1" sqref="AA158" xr:uid="{8C2C6EC7-FB4F-4D3D-98EA-B9CA77C372CE}">
      <formula1>$D$158:$Z$158</formula1>
    </dataValidation>
    <dataValidation type="list" allowBlank="1" showInputMessage="1" showErrorMessage="1" sqref="AA157" xr:uid="{667D01FA-C5EB-4062-BA41-47D3A9B8D4B2}">
      <formula1>$D$157:$Z$157</formula1>
    </dataValidation>
    <dataValidation type="list" allowBlank="1" showInputMessage="1" showErrorMessage="1" sqref="AA156" xr:uid="{304615EB-CD1E-42F5-B297-A7A3BC8995C2}">
      <formula1>$D$156:$Z$156</formula1>
    </dataValidation>
    <dataValidation type="list" allowBlank="1" showInputMessage="1" showErrorMessage="1" sqref="AA155" xr:uid="{85EFC4E2-4AF3-4E13-9552-2B8D31999C81}">
      <formula1>$D$155:$Z$155</formula1>
    </dataValidation>
    <dataValidation type="list" allowBlank="1" showInputMessage="1" showErrorMessage="1" sqref="AA152" xr:uid="{41B05ACA-9D5E-4401-A91B-5FC19710824B}">
      <formula1>$D$152:$Z$152</formula1>
    </dataValidation>
    <dataValidation type="list" allowBlank="1" showInputMessage="1" showErrorMessage="1" sqref="AA151" xr:uid="{C8D8F635-4F8E-47BE-842B-8E789BAD7515}">
      <formula1>$D$151:$Z$151</formula1>
    </dataValidation>
    <dataValidation type="list" allowBlank="1" showInputMessage="1" showErrorMessage="1" sqref="AA150" xr:uid="{F0FC855E-EF49-40DA-94B3-3F94747D96DF}">
      <formula1>$D$150:$Z$150</formula1>
    </dataValidation>
    <dataValidation type="list" allowBlank="1" showInputMessage="1" showErrorMessage="1" sqref="AA149" xr:uid="{D594C77C-4FD9-4B89-AD01-450B13ED2E19}">
      <formula1>$D$149:$Z$149</formula1>
    </dataValidation>
    <dataValidation type="list" allowBlank="1" showInputMessage="1" showErrorMessage="1" sqref="AA148" xr:uid="{034A9548-F847-40CB-AA59-A4864AF8C6BE}">
      <formula1>$D$148:$Z$148</formula1>
    </dataValidation>
    <dataValidation type="list" allowBlank="1" showInputMessage="1" showErrorMessage="1" sqref="AA147" xr:uid="{82A6843E-1822-40C9-9277-08B37A4739FB}">
      <formula1>$D$147:$Z$147</formula1>
    </dataValidation>
    <dataValidation type="list" allowBlank="1" showInputMessage="1" showErrorMessage="1" sqref="AA160" xr:uid="{FB0F5EBF-4277-4E95-A260-D302E4512D0B}">
      <formula1>$D$160:$Z$160</formula1>
    </dataValidation>
    <dataValidation type="list" allowBlank="1" showInputMessage="1" showErrorMessage="1" sqref="AA112" xr:uid="{2B64D247-ED76-4CC1-B6E4-FDE8B2BB066A}">
      <formula1>$D$112:$Z$112</formula1>
    </dataValidation>
    <dataValidation type="list" allowBlank="1" showInputMessage="1" showErrorMessage="1" sqref="AA103" xr:uid="{7FF2CB9F-B67D-4FDF-B971-528131722EF8}">
      <formula1>$D$103:$Z$103</formula1>
    </dataValidation>
    <dataValidation type="list" allowBlank="1" showInputMessage="1" showErrorMessage="1" sqref="AA182" xr:uid="{CABB16C5-CCA2-41EC-8440-737891C83480}">
      <formula1>$D$182:$Z$182</formula1>
    </dataValidation>
    <dataValidation type="list" allowBlank="1" showInputMessage="1" showErrorMessage="1" sqref="AA181" xr:uid="{9F10CB6F-F5DB-4626-8284-27823661CE6E}">
      <formula1>$D$181:$Z$181</formula1>
    </dataValidation>
    <dataValidation type="list" allowBlank="1" showInputMessage="1" showErrorMessage="1" sqref="AA180" xr:uid="{CAFCE53A-A3E7-4C58-9D22-669BA551C16B}">
      <formula1>$D$180:$Z$180</formula1>
    </dataValidation>
    <dataValidation type="list" allowBlank="1" showInputMessage="1" showErrorMessage="1" sqref="AA179" xr:uid="{DEA31E59-0E68-4AFD-9BE8-E3F74C60FBC0}">
      <formula1>$D$179:$Z$179</formula1>
    </dataValidation>
    <dataValidation type="list" allowBlank="1" showInputMessage="1" showErrorMessage="1" sqref="AA178" xr:uid="{F32177C2-07A8-4943-9B79-EC1ABAD0D9A3}">
      <formula1>$D$178:$Z$178</formula1>
    </dataValidation>
    <dataValidation type="list" allowBlank="1" showInputMessage="1" showErrorMessage="1" sqref="AA177" xr:uid="{98CBEA80-3D10-4A86-A5DC-266306CD8D87}">
      <formula1>$D$177:$Z$177</formula1>
    </dataValidation>
    <dataValidation type="list" allowBlank="1" showInputMessage="1" showErrorMessage="1" sqref="AA176" xr:uid="{2711AD8F-03D1-4DB8-9C72-E7E2B0AFF9BF}">
      <formula1>$D$176:$Z$176</formula1>
    </dataValidation>
    <dataValidation type="list" allowBlank="1" showInputMessage="1" showErrorMessage="1" sqref="AA175" xr:uid="{59224526-FB6A-4E14-AE5E-7C2338BF5B4E}">
      <formula1>$D$175:$Z$175</formula1>
    </dataValidation>
    <dataValidation type="list" allowBlank="1" showInputMessage="1" showErrorMessage="1" sqref="AA172" xr:uid="{D040B993-61FA-4106-9B49-DCAD6F41E6EB}">
      <formula1>$D$172:$Z$172</formula1>
    </dataValidation>
    <dataValidation type="list" allowBlank="1" showInputMessage="1" showErrorMessage="1" sqref="AA171" xr:uid="{DAA0069B-45FC-4754-AF9C-6FD3B75CBA78}">
      <formula1>$D$171:$Z$171</formula1>
    </dataValidation>
    <dataValidation type="list" allowBlank="1" showInputMessage="1" showErrorMessage="1" sqref="AA166" xr:uid="{F084A449-ACD0-4D12-80A6-C6BE1801A713}">
      <formula1>$D$166:$Z$166</formula1>
    </dataValidation>
    <dataValidation type="list" allowBlank="1" showInputMessage="1" showErrorMessage="1" sqref="AA100" xr:uid="{02EB87E8-D1F0-42CD-A708-259643D99784}">
      <formula1>$D$100:$Z$100</formula1>
    </dataValidation>
    <dataValidation type="list" allowBlank="1" showInputMessage="1" showErrorMessage="1" sqref="AA68" xr:uid="{D12D8E65-7004-4B13-A778-99F33F97B09D}">
      <formula1>$D$68:$Z$68</formula1>
    </dataValidation>
    <dataValidation type="list" allowBlank="1" showInputMessage="1" showErrorMessage="1" sqref="AA67" xr:uid="{BE1EC696-3684-4895-9072-FB3F03871992}">
      <formula1>$D$67:$Z$67</formula1>
    </dataValidation>
    <dataValidation type="list" allowBlank="1" showInputMessage="1" showErrorMessage="1" sqref="AA61" xr:uid="{97D30749-A1FF-48A3-8243-5215FC7CCAD6}">
      <formula1>$D$61:$Z$61</formula1>
    </dataValidation>
    <dataValidation type="list" allowBlank="1" showInputMessage="1" showErrorMessage="1" sqref="AA60" xr:uid="{6AAE08FA-1CA2-448B-B367-75742F9A5547}">
      <formula1>$D$60:$Z$60</formula1>
    </dataValidation>
    <dataValidation type="list" allowBlank="1" showInputMessage="1" showErrorMessage="1" sqref="AA59" xr:uid="{B924B884-226F-4EB7-AEA3-A5298AE27B10}">
      <formula1>$D$59:$Z$59</formula1>
    </dataValidation>
    <dataValidation type="list" allowBlank="1" showInputMessage="1" showErrorMessage="1" sqref="AA58" xr:uid="{8DDE63EF-AFF3-4704-94C2-4D000B69FC4D}">
      <formula1>$D$58:$Z$58</formula1>
    </dataValidation>
    <dataValidation type="list" allowBlank="1" showInputMessage="1" showErrorMessage="1" sqref="AA11" xr:uid="{5A985129-3CD5-4A95-A2E0-B1AEF4B452BC}">
      <formula1>$D$11:$Z$11</formula1>
    </dataValidation>
    <dataValidation type="list" allowBlank="1" showInputMessage="1" showErrorMessage="1" sqref="AA62" xr:uid="{E3EA9E3D-824C-4955-A694-D110BAB472CE}">
      <formula1>$D$62:$Z$62</formula1>
    </dataValidation>
    <dataValidation type="list" allowBlank="1" showInputMessage="1" showErrorMessage="1" sqref="AA63" xr:uid="{601FAFA5-CFF2-4964-B86B-93700609EC57}">
      <formula1>$D$63:$Z$63</formula1>
    </dataValidation>
    <dataValidation type="list" allowBlank="1" showInputMessage="1" showErrorMessage="1" sqref="AA64" xr:uid="{DC8F161C-310D-4C86-A5B4-B7B691983153}">
      <formula1>$D$64:$Z$64</formula1>
    </dataValidation>
    <dataValidation type="list" allowBlank="1" showInputMessage="1" showErrorMessage="1" sqref="AA65" xr:uid="{AECFFBE9-250C-4CEB-9CB8-E6F8DCA3444D}">
      <formula1>$D$65:$Z$65</formula1>
    </dataValidation>
    <dataValidation type="list" allowBlank="1" showInputMessage="1" showErrorMessage="1" sqref="AA66" xr:uid="{3DB1CA32-78C8-43E5-92F6-01FEA2FF61EE}">
      <formula1>$D$66:$Z$66</formula1>
    </dataValidation>
    <dataValidation type="list" allowBlank="1" showInputMessage="1" showErrorMessage="1" sqref="AA118" xr:uid="{E1BAF73C-1B0F-4229-A1B6-9BC9D26C4A84}">
      <formula1>$D$118:$Z$118</formula1>
    </dataValidation>
    <dataValidation type="list" allowBlank="1" showInputMessage="1" showErrorMessage="1" sqref="AA121" xr:uid="{268279A7-9485-46C5-95EE-E1A0EAC1CB08}">
      <formula1>$D$121:$Z$121</formula1>
    </dataValidation>
    <dataValidation type="list" allowBlank="1" showInputMessage="1" showErrorMessage="1" sqref="AA122" xr:uid="{8ADDCA59-4A56-4C3A-9C41-69A6DC5ECEA6}">
      <formula1>$D$122:$Z$122</formula1>
    </dataValidation>
    <dataValidation type="list" allowBlank="1" showInputMessage="1" showErrorMessage="1" sqref="AA125" xr:uid="{1E2B2852-340E-45E4-B22B-3CD2DF4C0D10}">
      <formula1>$D$125:$Z$125</formula1>
    </dataValidation>
    <dataValidation type="list" allowBlank="1" showInputMessage="1" showErrorMessage="1" sqref="AA126" xr:uid="{39E83606-8906-436F-864E-AEA6EA6F26E3}">
      <formula1>$D$126:$Z$126</formula1>
    </dataValidation>
    <dataValidation type="list" allowBlank="1" showInputMessage="1" showErrorMessage="1" sqref="AA127" xr:uid="{6E7FEBEE-781F-4D23-A775-C58C38077063}">
      <formula1>$D$127:$Z$127</formula1>
    </dataValidation>
    <dataValidation type="list" allowBlank="1" showInputMessage="1" showErrorMessage="1" sqref="AA128" xr:uid="{F4DCCB57-E99B-4EA1-AFC6-9039AD66C410}">
      <formula1>$D$128:$Z$128</formula1>
    </dataValidation>
    <dataValidation type="list" allowBlank="1" showInputMessage="1" showErrorMessage="1" sqref="AA104" xr:uid="{81AAD756-855A-4E84-9ADC-495CF0BC65F6}">
      <formula1>$D$104:$Z$104</formula1>
    </dataValidation>
    <dataValidation type="list" allowBlank="1" showInputMessage="1" showErrorMessage="1" sqref="AA105" xr:uid="{44EB0C5C-5219-4AD9-AE7C-A615251D741E}">
      <formula1>$D$105:$Z$105</formula1>
    </dataValidation>
    <dataValidation type="list" allowBlank="1" showInputMessage="1" showErrorMessage="1" sqref="AA106" xr:uid="{ED3B2B9B-C7C0-4D0C-AF05-F0E510ED8C7A}">
      <formula1>$D$106:$Z$106</formula1>
    </dataValidation>
    <dataValidation type="list" allowBlank="1" showInputMessage="1" showErrorMessage="1" sqref="AA107" xr:uid="{DA5117A1-855C-4EE3-9B2F-E77E121BFFB3}">
      <formula1>$D$107:$Z$107</formula1>
    </dataValidation>
    <dataValidation type="list" allowBlank="1" showInputMessage="1" showErrorMessage="1" sqref="AA109" xr:uid="{97DCDEA8-5496-47D5-9B90-84E00F328FCC}">
      <formula1>$D$109:$Z$109</formula1>
    </dataValidation>
    <dataValidation type="list" allowBlank="1" showInputMessage="1" showErrorMessage="1" sqref="AA110" xr:uid="{9925F2CC-363F-48B4-8F8F-42F2F8CBE7A4}">
      <formula1>$D$110:$Z$110</formula1>
    </dataValidation>
    <dataValidation type="list" allowBlank="1" showInputMessage="1" showErrorMessage="1" sqref="AA111" xr:uid="{F70D15CF-A3D0-4606-B7E6-6FC4FBABB31C}">
      <formula1>$D$111:$Z$111</formula1>
    </dataValidation>
    <dataValidation type="list" allowBlank="1" showInputMessage="1" showErrorMessage="1" sqref="AA69" xr:uid="{32F2A8F0-0AB7-49E3-BA72-C09137BB2ECA}">
      <formula1>$D$69:$Z$69</formula1>
    </dataValidation>
    <dataValidation type="list" allowBlank="1" showInputMessage="1" showErrorMessage="1" sqref="AA70" xr:uid="{28E696E9-9A02-4627-BB71-E796A23CFB7F}">
      <formula1>$D$70:$Z$70</formula1>
    </dataValidation>
    <dataValidation type="list" allowBlank="1" showInputMessage="1" showErrorMessage="1" sqref="AA71" xr:uid="{D37EC81F-B15A-4C1B-86C9-F915EE191FAA}">
      <formula1>$D$71:$Z$71</formula1>
    </dataValidation>
    <dataValidation type="list" allowBlank="1" showInputMessage="1" showErrorMessage="1" sqref="AA72" xr:uid="{B19310B5-4729-4302-A556-AF9DB0712494}">
      <formula1>$D$72:$Z$72</formula1>
    </dataValidation>
    <dataValidation type="list" allowBlank="1" showInputMessage="1" showErrorMessage="1" sqref="AA77" xr:uid="{5131E133-4AEA-4C76-AABA-778B82D4A122}">
      <formula1>$D$77:$Z$77</formula1>
    </dataValidation>
    <dataValidation type="list" allowBlank="1" showInputMessage="1" showErrorMessage="1" sqref="AA78" xr:uid="{7E70E054-D8A3-43E9-A81F-8BA744798A59}">
      <formula1>$D$78:$Z$78</formula1>
    </dataValidation>
    <dataValidation type="list" allowBlank="1" showInputMessage="1" showErrorMessage="1" sqref="AA79" xr:uid="{AF6279B2-6116-4A41-BBB4-802A3D07CD63}">
      <formula1>$D$79:$Z$79</formula1>
    </dataValidation>
    <dataValidation type="list" allowBlank="1" showInputMessage="1" showErrorMessage="1" sqref="AA80" xr:uid="{5743E170-DE97-4B9F-A810-4140BEA481A8}">
      <formula1>$D$80:$Z$80</formula1>
    </dataValidation>
    <dataValidation type="list" allowBlank="1" showInputMessage="1" showErrorMessage="1" sqref="AA81" xr:uid="{996D90B5-DCC5-4A79-B35E-1BEC38A26C6E}">
      <formula1>$D$81:$Z$81</formula1>
    </dataValidation>
    <dataValidation type="list" allowBlank="1" showInputMessage="1" showErrorMessage="1" sqref="AA82" xr:uid="{99A489A2-D1E9-463F-A1D1-0911EBFC3F5A}">
      <formula1>$D$82:$Z$82</formula1>
    </dataValidation>
    <dataValidation type="list" allowBlank="1" showInputMessage="1" showErrorMessage="1" sqref="AA83" xr:uid="{C68A3EBF-48E3-40CA-9B08-B676CA75286C}">
      <formula1>$D$83:$Z$83</formula1>
    </dataValidation>
    <dataValidation type="list" allowBlank="1" showInputMessage="1" showErrorMessage="1" sqref="AA84" xr:uid="{2DFA31ED-9025-45BA-B344-B05CB535E294}">
      <formula1>$D$84:$Z$84</formula1>
    </dataValidation>
    <dataValidation type="list" allowBlank="1" showInputMessage="1" showErrorMessage="1" sqref="AA93" xr:uid="{EEBD7DFA-90DE-4868-B4BF-3D6A85F0B1B3}">
      <formula1>$D$93:$Z$93</formula1>
    </dataValidation>
    <dataValidation type="list" allowBlank="1" showInputMessage="1" showErrorMessage="1" sqref="AA94" xr:uid="{8D56907C-C40C-4AE4-A05D-C14633B75961}">
      <formula1>$D$94:$Z$94</formula1>
    </dataValidation>
    <dataValidation type="list" allowBlank="1" showInputMessage="1" showErrorMessage="1" sqref="AA95" xr:uid="{4A8FD343-60A7-4C6B-9F80-C999AB32E88B}">
      <formula1>$D$95:$Z$95</formula1>
    </dataValidation>
    <dataValidation type="list" allowBlank="1" showInputMessage="1" showErrorMessage="1" sqref="AA96" xr:uid="{23C74ADD-AF53-4C94-AAF9-4EAE6F10674B}">
      <formula1>$D$96:$Z$96</formula1>
    </dataValidation>
    <dataValidation type="list" allowBlank="1" showInputMessage="1" showErrorMessage="1" sqref="AA99" xr:uid="{2C35D00B-09BE-494A-A330-855841531339}">
      <formula1>$D$99:$Z$99</formula1>
    </dataValidation>
    <dataValidation type="list" allowBlank="1" showInputMessage="1" showErrorMessage="1" sqref="AA12" xr:uid="{F93A24C6-779C-421B-9376-E5A7456EE77B}">
      <formula1>$D$12:$Z$12</formula1>
    </dataValidation>
    <dataValidation type="list" allowBlank="1" showInputMessage="1" showErrorMessage="1" sqref="AA13" xr:uid="{39AFED5B-7140-4F24-A65E-2192A20DCBEA}">
      <formula1>$D$13:$Z$13</formula1>
    </dataValidation>
    <dataValidation type="list" allowBlank="1" showInputMessage="1" showErrorMessage="1" sqref="AA14" xr:uid="{21C9E8A2-905F-4862-93E1-9C0144812123}">
      <formula1>$D$14:$Z$14</formula1>
    </dataValidation>
    <dataValidation type="list" allowBlank="1" showInputMessage="1" showErrorMessage="1" sqref="AA17" xr:uid="{DE76DF4F-E376-4919-84BA-88DA120A0D2E}">
      <formula1>$D$17:$Z$17</formula1>
    </dataValidation>
    <dataValidation type="list" allowBlank="1" showInputMessage="1" showErrorMessage="1" sqref="AA18" xr:uid="{376F5DC1-0889-46DE-B316-F2FF1257C6B3}">
      <formula1>$D$18:$Z$18</formula1>
    </dataValidation>
    <dataValidation type="list" allowBlank="1" showInputMessage="1" showErrorMessage="1" sqref="AA19" xr:uid="{E05E6EFF-AB22-4490-BAF0-A44759D93E48}">
      <formula1>$D$19:$Z$19</formula1>
    </dataValidation>
    <dataValidation type="list" allowBlank="1" showInputMessage="1" showErrorMessage="1" sqref="AA20" xr:uid="{711C672D-42C1-4235-ADA0-D44647B679E3}">
      <formula1>$D$20:$Z$20</formula1>
    </dataValidation>
    <dataValidation type="list" allowBlank="1" showInputMessage="1" showErrorMessage="1" sqref="AA23" xr:uid="{74A3F94D-D9F7-483F-9B76-8A3E567FB800}">
      <formula1>$D$23:$Z$23</formula1>
    </dataValidation>
    <dataValidation type="list" allowBlank="1" showInputMessage="1" showErrorMessage="1" sqref="AA24" xr:uid="{6D99EF57-BFC4-4630-AC66-7BAF2B492215}">
      <formula1>$D$24:$Z$24</formula1>
    </dataValidation>
    <dataValidation type="list" allowBlank="1" showInputMessage="1" showErrorMessage="1" sqref="AA25" xr:uid="{557ECE17-F0C4-4FC0-B32A-AD8181F23385}">
      <formula1>$D$25:$Z$25</formula1>
    </dataValidation>
    <dataValidation type="list" allowBlank="1" showInputMessage="1" showErrorMessage="1" sqref="AA26" xr:uid="{D4F83620-7776-4D7D-A0AA-A33F5988A3D2}">
      <formula1>$D$26:$Z$26</formula1>
    </dataValidation>
    <dataValidation type="list" allowBlank="1" showInputMessage="1" showErrorMessage="1" sqref="AA35" xr:uid="{759CC36D-09E4-4B0E-BC6C-02705CB629AA}">
      <formula1>$D$35:$Z$35</formula1>
    </dataValidation>
    <dataValidation type="list" allowBlank="1" showInputMessage="1" showErrorMessage="1" sqref="AA36" xr:uid="{992325AD-D632-40C2-8F74-62A806D8F528}">
      <formula1>$D$36:$Z$36</formula1>
    </dataValidation>
    <dataValidation type="list" allowBlank="1" showInputMessage="1" showErrorMessage="1" sqref="AA37" xr:uid="{9F6586E6-E04D-4FDB-9D36-FA7F26F2D028}">
      <formula1>$D$37:$Z$37</formula1>
    </dataValidation>
    <dataValidation type="list" allowBlank="1" showInputMessage="1" showErrorMessage="1" sqref="AA38" xr:uid="{BCC39D1E-4DEB-484A-BAF1-9906AFB1A75A}">
      <formula1>$D$38:$Z$38</formula1>
    </dataValidation>
    <dataValidation type="list" allowBlank="1" showInputMessage="1" showErrorMessage="1" sqref="AA39" xr:uid="{DF5EE8AE-57CC-4501-B0FA-5454A171B754}">
      <formula1>$D$39:$Z$39</formula1>
    </dataValidation>
    <dataValidation type="list" allowBlank="1" showInputMessage="1" showErrorMessage="1" sqref="AA40" xr:uid="{95A02559-E186-4301-9089-BC2845172A0C}">
      <formula1>$D$40:$Z$40</formula1>
    </dataValidation>
    <dataValidation type="list" allowBlank="1" showInputMessage="1" showErrorMessage="1" sqref="AA42" xr:uid="{B4607294-7261-4CEF-A4D9-634B95E20852}">
      <formula1>$D$42:$Z$42</formula1>
    </dataValidation>
    <dataValidation type="list" allowBlank="1" showInputMessage="1" showErrorMessage="1" sqref="AA41" xr:uid="{2930A0D5-D343-4E25-BC24-DFCB5192F37D}">
      <formula1>$D$41:$Z$41</formula1>
    </dataValidation>
    <dataValidation type="list" allowBlank="1" showInputMessage="1" showErrorMessage="1" sqref="AA43" xr:uid="{34E70D3C-F9D7-473D-A31A-34A6E339E683}">
      <formula1>$D$43:$Z$43</formula1>
    </dataValidation>
    <dataValidation type="list" allowBlank="1" showInputMessage="1" showErrorMessage="1" sqref="AA44" xr:uid="{B2FFE50E-44B2-4BA4-BC1E-E5A46E2AA861}">
      <formula1>$D$44:$Z$44</formula1>
    </dataValidation>
    <dataValidation type="list" allowBlank="1" showInputMessage="1" showErrorMessage="1" sqref="AA45" xr:uid="{1C8F32C0-3689-4D0A-8FC9-8C5FFCC31573}">
      <formula1>$D$45:$Z$45</formula1>
    </dataValidation>
    <dataValidation type="list" allowBlank="1" showInputMessage="1" showErrorMessage="1" sqref="AA46" xr:uid="{AF8F2079-78B3-4361-A64E-38CBC4817A39}">
      <formula1>$D$46:$Z$46</formula1>
    </dataValidation>
    <dataValidation type="list" allowBlank="1" showInputMessage="1" showErrorMessage="1" sqref="AA47" xr:uid="{604F7B72-2A05-47C3-8287-F18D49192F6C}">
      <formula1>$D$47:$Z$47</formula1>
    </dataValidation>
    <dataValidation type="list" allowBlank="1" showInputMessage="1" showErrorMessage="1" sqref="AA48" xr:uid="{41F6C753-B7C9-4110-892E-FD2FC92CFDA7}">
      <formula1>$D$48:$Z$48</formula1>
    </dataValidation>
    <dataValidation type="list" allowBlank="1" showInputMessage="1" showErrorMessage="1" sqref="AA49" xr:uid="{BB31C150-3CC9-44D0-8D3E-194D30D5E910}">
      <formula1>$D$49:$Z$49</formula1>
    </dataValidation>
    <dataValidation type="list" allowBlank="1" showInputMessage="1" showErrorMessage="1" sqref="AA50" xr:uid="{753339E9-9E1D-46C1-BC0B-140100964731}">
      <formula1>$D$50:$Z$50</formula1>
    </dataValidation>
    <dataValidation type="list" allowBlank="1" showInputMessage="1" showErrorMessage="1" sqref="AA51" xr:uid="{B2077B10-2E93-4FAD-B99E-53FD033920B1}">
      <formula1>$D$51:$Z$51</formula1>
    </dataValidation>
    <dataValidation type="list" allowBlank="1" showInputMessage="1" showErrorMessage="1" sqref="AA57" xr:uid="{1B2F1043-E934-454B-AF3A-A5940B17EADE}">
      <formula1>$D$57:$Z$57</formula1>
    </dataValidation>
    <dataValidation type="list" allowBlank="1" showInputMessage="1" showErrorMessage="1" sqref="AA73" xr:uid="{DFBA7D0F-4D44-4C63-A5BC-52460078EAE5}">
      <formula1>$D$73:$Z$73</formula1>
    </dataValidation>
    <dataValidation type="list" allowBlank="1" showInputMessage="1" showErrorMessage="1" sqref="AA74" xr:uid="{62166C37-2ACB-45B2-93CB-F38DDDF6CCDE}">
      <formula1>$D$74:$Z$74</formula1>
    </dataValidation>
    <dataValidation type="list" allowBlank="1" showInputMessage="1" showErrorMessage="1" sqref="AA89" xr:uid="{91AB546C-A183-49AA-A666-DFF8AE7A99BF}">
      <formula1>$D$89:$Z$89</formula1>
    </dataValidation>
    <dataValidation type="list" allowBlank="1" showInputMessage="1" showErrorMessage="1" sqref="AA90" xr:uid="{B55BAC59-CA83-4AFB-9DD6-11625DBAAC0C}">
      <formula1>$D$90:$Z$90</formula1>
    </dataValidation>
    <dataValidation type="list" allowBlank="1" showInputMessage="1" showErrorMessage="1" sqref="AA91" xr:uid="{F3B151C4-38CB-47B1-9684-B13263D579D9}">
      <formula1>$D$91:$Z$91</formula1>
    </dataValidation>
    <dataValidation type="list" allowBlank="1" showInputMessage="1" showErrorMessage="1" sqref="AA92" xr:uid="{C27DBC2F-AB46-4B63-9E52-9866F2712DA5}">
      <formula1>$D$92:$Z$92</formula1>
    </dataValidation>
    <dataValidation type="list" allowBlank="1" showInputMessage="1" showErrorMessage="1" sqref="AA101" xr:uid="{5EAECDB8-3576-43C1-BF58-78F7FAEB1759}">
      <formula1>$D$101:$Z$101</formula1>
    </dataValidation>
    <dataValidation type="list" allowBlank="1" showInputMessage="1" showErrorMessage="1" sqref="AA102" xr:uid="{7B72893A-97DE-4CA6-9099-5FCB38380137}">
      <formula1>$D$102:$Z$102</formula1>
    </dataValidation>
    <dataValidation type="list" allowBlank="1" showInputMessage="1" showErrorMessage="1" sqref="AA123" xr:uid="{BD9F3CF1-AE6B-444A-BDDF-27659D73C0D9}">
      <formula1>$D$123:$Z$123</formula1>
    </dataValidation>
    <dataValidation type="list" allowBlank="1" showInputMessage="1" showErrorMessage="1" sqref="AA124" xr:uid="{63FC8B1D-D723-42F8-9805-D7921F9EA27B}">
      <formula1>$D$124:$Z$124</formula1>
    </dataValidation>
    <dataValidation type="list" allowBlank="1" showInputMessage="1" showErrorMessage="1" sqref="AA145" xr:uid="{6465B731-3AFF-4EDA-AB07-23BA71148491}">
      <formula1>$D$145:$Z$145</formula1>
    </dataValidation>
    <dataValidation type="list" allowBlank="1" showInputMessage="1" showErrorMessage="1" sqref="AA146" xr:uid="{4B300CEB-F56A-4351-B0F6-1610BD964BFB}">
      <formula1>$D$146:$Z$146</formula1>
    </dataValidation>
    <dataValidation type="list" allowBlank="1" showInputMessage="1" showErrorMessage="1" sqref="AA167" xr:uid="{01921517-5CE6-4511-969C-16780F05DF8E}">
      <formula1>$D$167:$Z$167</formula1>
    </dataValidation>
    <dataValidation type="list" allowBlank="1" showInputMessage="1" showErrorMessage="1" sqref="AA168" xr:uid="{D8FBB157-52AA-41AA-A330-4F55956940C6}">
      <formula1>$D$168:$Z$168</formula1>
    </dataValidation>
    <dataValidation type="list" allowBlank="1" showInputMessage="1" showErrorMessage="1" sqref="AA169" xr:uid="{8C08481D-85D0-46A0-AE44-AB23B5E4BC1E}">
      <formula1>$D$169:$Z$169</formula1>
    </dataValidation>
    <dataValidation type="list" allowBlank="1" showInputMessage="1" showErrorMessage="1" sqref="AA170" xr:uid="{F6EF57E2-C29E-4CDA-A526-790496D8B24A}">
      <formula1>$D$170:$Z$170</formula1>
    </dataValidation>
    <dataValidation type="list" allowBlank="1" showInputMessage="1" showErrorMessage="1" sqref="AB182" xr:uid="{0250F2D9-21CD-4635-97EB-F858001ED504}">
      <formula1>"NA, SMARTIO7_7"</formula1>
    </dataValidation>
    <dataValidation type="list" allowBlank="1" showInputMessage="1" showErrorMessage="1" sqref="AA32" xr:uid="{1E0E950B-5DB4-41CF-91D0-ADDDDEE0B4E9}">
      <formula1>$D$32:$Z$32</formula1>
    </dataValidation>
    <dataValidation type="list" allowBlank="1" showInputMessage="1" showErrorMessage="1" sqref="AA52" xr:uid="{C4396F14-E474-4307-BAE5-57433818C753}">
      <formula1>$D$52:$Z$52</formula1>
    </dataValidation>
    <dataValidation type="list" allowBlank="1" showInputMessage="1" showErrorMessage="1" sqref="AA55" xr:uid="{19CA0B69-A021-417F-B121-9F06AB00E8FE}">
      <formula1>$D$55:$Z$55</formula1>
    </dataValidation>
    <dataValidation type="list" allowBlank="1" showInputMessage="1" showErrorMessage="1" sqref="AA56" xr:uid="{C8FC49BA-0BF0-4F60-9BBF-9F0851F5748F}">
      <formula1>$D$56:$Z$56</formula1>
    </dataValidation>
    <dataValidation type="list" allowBlank="1" showInputMessage="1" showErrorMessage="1" sqref="AA85" xr:uid="{A8C1967D-2CBA-406D-99EE-8F4F0C738DAB}">
      <formula1>$D$85:$Z$85</formula1>
    </dataValidation>
    <dataValidation type="list" allowBlank="1" showInputMessage="1" showErrorMessage="1" sqref="AA86" xr:uid="{C1FAF648-2F2A-4C1E-91F0-2145C5C6FB61}">
      <formula1>$D$86:$Z$86</formula1>
    </dataValidation>
    <dataValidation type="list" allowBlank="1" showInputMessage="1" showErrorMessage="1" sqref="AA87" xr:uid="{F3939501-2DC4-49AF-8158-187CA5232FB3}">
      <formula1>$D$87:$Z$87</formula1>
    </dataValidation>
    <dataValidation type="list" allowBlank="1" showInputMessage="1" showErrorMessage="1" sqref="AA88" xr:uid="{6FCB90A2-3F44-48BC-9081-19730B272E3D}">
      <formula1>$D$88:$Z$88</formula1>
    </dataValidation>
    <dataValidation type="list" allowBlank="1" showInputMessage="1" showErrorMessage="1" sqref="AA119" xr:uid="{32AFB0AA-B34E-4D22-9DD2-A009C5518767}">
      <formula1>$D$119:$Z$119</formula1>
    </dataValidation>
    <dataValidation type="list" allowBlank="1" showInputMessage="1" showErrorMessage="1" sqref="AA120" xr:uid="{8477BFA2-5C2B-4895-A480-A39FBF4777A5}">
      <formula1>$D$120:$Z$120</formula1>
    </dataValidation>
    <dataValidation type="list" allowBlank="1" showInputMessage="1" showErrorMessage="1" sqref="AA161" xr:uid="{054BADF3-3659-4D2D-ABD8-DB93CEBFAA96}">
      <formula1>$D$161:$Z$161</formula1>
    </dataValidation>
    <dataValidation type="list" allowBlank="1" showInputMessage="1" showErrorMessage="1" sqref="AA162" xr:uid="{BC335210-0151-4269-B665-7CB33BC16C9D}">
      <formula1>$D$162:$Z$162</formula1>
    </dataValidation>
    <dataValidation type="list" allowBlank="1" showInputMessage="1" showErrorMessage="1" sqref="AA165" xr:uid="{679F46E6-C848-4A5E-B1FC-C4D469C409A2}">
      <formula1>$D$165:$Z$165</formula1>
    </dataValidation>
    <dataValidation type="list" allowBlank="1" showInputMessage="1" showErrorMessage="1" sqref="AB175" xr:uid="{1665036E-843A-44C5-8A1B-60725F4D168A}">
      <formula1>"NA, SMARTIO7_0"</formula1>
    </dataValidation>
    <dataValidation type="list" allowBlank="1" showInputMessage="1" showErrorMessage="1" sqref="AB176" xr:uid="{495A0036-D717-4889-A549-E125ED705CE8}">
      <formula1>"NA, SMARTIO7_1"</formula1>
    </dataValidation>
    <dataValidation type="list" allowBlank="1" showInputMessage="1" showErrorMessage="1" sqref="AB177" xr:uid="{DEEEEE71-12EE-427B-BE2B-4C5F89E9B95B}">
      <formula1>"NA, SMARTIO7_2"</formula1>
    </dataValidation>
    <dataValidation type="list" allowBlank="1" showInputMessage="1" showErrorMessage="1" sqref="AB178" xr:uid="{5B75A54E-EBD9-44B4-9130-DEE5F6A3BA6F}">
      <formula1>"NA, SMARTIO7_3"</formula1>
    </dataValidation>
    <dataValidation type="list" allowBlank="1" showInputMessage="1" showErrorMessage="1" sqref="AB179" xr:uid="{ADA9B406-3D67-431B-8395-C73B38568FF4}">
      <formula1>"NA, SMARTIO7_4"</formula1>
    </dataValidation>
    <dataValidation type="list" allowBlank="1" showInputMessage="1" showErrorMessage="1" sqref="AB180" xr:uid="{ED4C21D7-08EC-4192-B31A-4A8CB294B842}">
      <formula1>"NA, SMARTIO7_5"</formula1>
    </dataValidation>
    <dataValidation type="list" allowBlank="1" showInputMessage="1" showErrorMessage="1" sqref="AB181" xr:uid="{E0BFE522-1AED-444E-836E-3876A67C5685}">
      <formula1>"NA, SMARTIO7_6"</formula1>
    </dataValidation>
    <dataValidation type="list" allowBlank="1" showInputMessage="1" showErrorMessage="1" sqref="AA33" xr:uid="{F1064AF6-E633-4483-BEDD-8CABFB715A5B}">
      <formula1>$D$33:$Z$33</formula1>
    </dataValidation>
    <dataValidation type="list" allowBlank="1" showInputMessage="1" showErrorMessage="1" sqref="AA34" xr:uid="{84353920-559D-43C5-9C8A-256369F0F12A}">
      <formula1>$D$34:$Z$34</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F1C02-5103-429C-AED9-27262C3F13D7}">
  <dimension ref="A1:BQ178"/>
  <sheetViews>
    <sheetView zoomScale="95" zoomScaleNormal="95" workbookViewId="0">
      <selection activeCell="F1" sqref="F1"/>
    </sheetView>
  </sheetViews>
  <sheetFormatPr defaultColWidth="8.83203125" defaultRowHeight="10" x14ac:dyDescent="0.55000000000000004"/>
  <cols>
    <col min="1" max="1" width="8.83203125" style="30"/>
    <col min="2" max="2" width="14.1640625" style="30" bestFit="1" customWidth="1"/>
    <col min="3" max="3" width="12.08203125" style="30" bestFit="1" customWidth="1"/>
    <col min="4" max="15" width="7.33203125" style="30" customWidth="1"/>
    <col min="16" max="66" width="6.1640625" style="30" customWidth="1"/>
    <col min="67" max="69" width="8.58203125" style="30" customWidth="1"/>
    <col min="70" max="291" width="8.83203125" style="30"/>
    <col min="292" max="292" width="14.33203125" style="30" customWidth="1"/>
    <col min="293" max="294" width="3.33203125" style="30" customWidth="1"/>
    <col min="295" max="319" width="2.4140625" style="30" customWidth="1"/>
    <col min="320" max="321" width="3.33203125" style="30" customWidth="1"/>
    <col min="322" max="322" width="14.33203125" style="30" customWidth="1"/>
    <col min="323" max="547" width="8.83203125" style="30"/>
    <col min="548" max="548" width="14.33203125" style="30" customWidth="1"/>
    <col min="549" max="550" width="3.33203125" style="30" customWidth="1"/>
    <col min="551" max="575" width="2.4140625" style="30" customWidth="1"/>
    <col min="576" max="577" width="3.33203125" style="30" customWidth="1"/>
    <col min="578" max="578" width="14.33203125" style="30" customWidth="1"/>
    <col min="579" max="803" width="8.83203125" style="30"/>
    <col min="804" max="804" width="14.33203125" style="30" customWidth="1"/>
    <col min="805" max="806" width="3.33203125" style="30" customWidth="1"/>
    <col min="807" max="831" width="2.4140625" style="30" customWidth="1"/>
    <col min="832" max="833" width="3.33203125" style="30" customWidth="1"/>
    <col min="834" max="834" width="14.33203125" style="30" customWidth="1"/>
    <col min="835" max="1059" width="8.83203125" style="30"/>
    <col min="1060" max="1060" width="14.33203125" style="30" customWidth="1"/>
    <col min="1061" max="1062" width="3.33203125" style="30" customWidth="1"/>
    <col min="1063" max="1087" width="2.4140625" style="30" customWidth="1"/>
    <col min="1088" max="1089" width="3.33203125" style="30" customWidth="1"/>
    <col min="1090" max="1090" width="14.33203125" style="30" customWidth="1"/>
    <col min="1091" max="1315" width="8.83203125" style="30"/>
    <col min="1316" max="1316" width="14.33203125" style="30" customWidth="1"/>
    <col min="1317" max="1318" width="3.33203125" style="30" customWidth="1"/>
    <col min="1319" max="1343" width="2.4140625" style="30" customWidth="1"/>
    <col min="1344" max="1345" width="3.33203125" style="30" customWidth="1"/>
    <col min="1346" max="1346" width="14.33203125" style="30" customWidth="1"/>
    <col min="1347" max="1571" width="8.83203125" style="30"/>
    <col min="1572" max="1572" width="14.33203125" style="30" customWidth="1"/>
    <col min="1573" max="1574" width="3.33203125" style="30" customWidth="1"/>
    <col min="1575" max="1599" width="2.4140625" style="30" customWidth="1"/>
    <col min="1600" max="1601" width="3.33203125" style="30" customWidth="1"/>
    <col min="1602" max="1602" width="14.33203125" style="30" customWidth="1"/>
    <col min="1603" max="1827" width="8.83203125" style="30"/>
    <col min="1828" max="1828" width="14.33203125" style="30" customWidth="1"/>
    <col min="1829" max="1830" width="3.33203125" style="30" customWidth="1"/>
    <col min="1831" max="1855" width="2.4140625" style="30" customWidth="1"/>
    <col min="1856" max="1857" width="3.33203125" style="30" customWidth="1"/>
    <col min="1858" max="1858" width="14.33203125" style="30" customWidth="1"/>
    <col min="1859" max="2083" width="8.83203125" style="30"/>
    <col min="2084" max="2084" width="14.33203125" style="30" customWidth="1"/>
    <col min="2085" max="2086" width="3.33203125" style="30" customWidth="1"/>
    <col min="2087" max="2111" width="2.4140625" style="30" customWidth="1"/>
    <col min="2112" max="2113" width="3.33203125" style="30" customWidth="1"/>
    <col min="2114" max="2114" width="14.33203125" style="30" customWidth="1"/>
    <col min="2115" max="2339" width="8.83203125" style="30"/>
    <col min="2340" max="2340" width="14.33203125" style="30" customWidth="1"/>
    <col min="2341" max="2342" width="3.33203125" style="30" customWidth="1"/>
    <col min="2343" max="2367" width="2.4140625" style="30" customWidth="1"/>
    <col min="2368" max="2369" width="3.33203125" style="30" customWidth="1"/>
    <col min="2370" max="2370" width="14.33203125" style="30" customWidth="1"/>
    <col min="2371" max="2595" width="8.83203125" style="30"/>
    <col min="2596" max="2596" width="14.33203125" style="30" customWidth="1"/>
    <col min="2597" max="2598" width="3.33203125" style="30" customWidth="1"/>
    <col min="2599" max="2623" width="2.4140625" style="30" customWidth="1"/>
    <col min="2624" max="2625" width="3.33203125" style="30" customWidth="1"/>
    <col min="2626" max="2626" width="14.33203125" style="30" customWidth="1"/>
    <col min="2627" max="2851" width="8.83203125" style="30"/>
    <col min="2852" max="2852" width="14.33203125" style="30" customWidth="1"/>
    <col min="2853" max="2854" width="3.33203125" style="30" customWidth="1"/>
    <col min="2855" max="2879" width="2.4140625" style="30" customWidth="1"/>
    <col min="2880" max="2881" width="3.33203125" style="30" customWidth="1"/>
    <col min="2882" max="2882" width="14.33203125" style="30" customWidth="1"/>
    <col min="2883" max="3107" width="8.83203125" style="30"/>
    <col min="3108" max="3108" width="14.33203125" style="30" customWidth="1"/>
    <col min="3109" max="3110" width="3.33203125" style="30" customWidth="1"/>
    <col min="3111" max="3135" width="2.4140625" style="30" customWidth="1"/>
    <col min="3136" max="3137" width="3.33203125" style="30" customWidth="1"/>
    <col min="3138" max="3138" width="14.33203125" style="30" customWidth="1"/>
    <col min="3139" max="3363" width="8.83203125" style="30"/>
    <col min="3364" max="3364" width="14.33203125" style="30" customWidth="1"/>
    <col min="3365" max="3366" width="3.33203125" style="30" customWidth="1"/>
    <col min="3367" max="3391" width="2.4140625" style="30" customWidth="1"/>
    <col min="3392" max="3393" width="3.33203125" style="30" customWidth="1"/>
    <col min="3394" max="3394" width="14.33203125" style="30" customWidth="1"/>
    <col min="3395" max="3619" width="8.83203125" style="30"/>
    <col min="3620" max="3620" width="14.33203125" style="30" customWidth="1"/>
    <col min="3621" max="3622" width="3.33203125" style="30" customWidth="1"/>
    <col min="3623" max="3647" width="2.4140625" style="30" customWidth="1"/>
    <col min="3648" max="3649" width="3.33203125" style="30" customWidth="1"/>
    <col min="3650" max="3650" width="14.33203125" style="30" customWidth="1"/>
    <col min="3651" max="3875" width="8.83203125" style="30"/>
    <col min="3876" max="3876" width="14.33203125" style="30" customWidth="1"/>
    <col min="3877" max="3878" width="3.33203125" style="30" customWidth="1"/>
    <col min="3879" max="3903" width="2.4140625" style="30" customWidth="1"/>
    <col min="3904" max="3905" width="3.33203125" style="30" customWidth="1"/>
    <col min="3906" max="3906" width="14.33203125" style="30" customWidth="1"/>
    <col min="3907" max="4131" width="8.83203125" style="30"/>
    <col min="4132" max="4132" width="14.33203125" style="30" customWidth="1"/>
    <col min="4133" max="4134" width="3.33203125" style="30" customWidth="1"/>
    <col min="4135" max="4159" width="2.4140625" style="30" customWidth="1"/>
    <col min="4160" max="4161" width="3.33203125" style="30" customWidth="1"/>
    <col min="4162" max="4162" width="14.33203125" style="30" customWidth="1"/>
    <col min="4163" max="4387" width="8.83203125" style="30"/>
    <col min="4388" max="4388" width="14.33203125" style="30" customWidth="1"/>
    <col min="4389" max="4390" width="3.33203125" style="30" customWidth="1"/>
    <col min="4391" max="4415" width="2.4140625" style="30" customWidth="1"/>
    <col min="4416" max="4417" width="3.33203125" style="30" customWidth="1"/>
    <col min="4418" max="4418" width="14.33203125" style="30" customWidth="1"/>
    <col min="4419" max="4643" width="8.83203125" style="30"/>
    <col min="4644" max="4644" width="14.33203125" style="30" customWidth="1"/>
    <col min="4645" max="4646" width="3.33203125" style="30" customWidth="1"/>
    <col min="4647" max="4671" width="2.4140625" style="30" customWidth="1"/>
    <col min="4672" max="4673" width="3.33203125" style="30" customWidth="1"/>
    <col min="4674" max="4674" width="14.33203125" style="30" customWidth="1"/>
    <col min="4675" max="4899" width="8.83203125" style="30"/>
    <col min="4900" max="4900" width="14.33203125" style="30" customWidth="1"/>
    <col min="4901" max="4902" width="3.33203125" style="30" customWidth="1"/>
    <col min="4903" max="4927" width="2.4140625" style="30" customWidth="1"/>
    <col min="4928" max="4929" width="3.33203125" style="30" customWidth="1"/>
    <col min="4930" max="4930" width="14.33203125" style="30" customWidth="1"/>
    <col min="4931" max="5155" width="8.83203125" style="30"/>
    <col min="5156" max="5156" width="14.33203125" style="30" customWidth="1"/>
    <col min="5157" max="5158" width="3.33203125" style="30" customWidth="1"/>
    <col min="5159" max="5183" width="2.4140625" style="30" customWidth="1"/>
    <col min="5184" max="5185" width="3.33203125" style="30" customWidth="1"/>
    <col min="5186" max="5186" width="14.33203125" style="30" customWidth="1"/>
    <col min="5187" max="5411" width="8.83203125" style="30"/>
    <col min="5412" max="5412" width="14.33203125" style="30" customWidth="1"/>
    <col min="5413" max="5414" width="3.33203125" style="30" customWidth="1"/>
    <col min="5415" max="5439" width="2.4140625" style="30" customWidth="1"/>
    <col min="5440" max="5441" width="3.33203125" style="30" customWidth="1"/>
    <col min="5442" max="5442" width="14.33203125" style="30" customWidth="1"/>
    <col min="5443" max="5667" width="8.83203125" style="30"/>
    <col min="5668" max="5668" width="14.33203125" style="30" customWidth="1"/>
    <col min="5669" max="5670" width="3.33203125" style="30" customWidth="1"/>
    <col min="5671" max="5695" width="2.4140625" style="30" customWidth="1"/>
    <col min="5696" max="5697" width="3.33203125" style="30" customWidth="1"/>
    <col min="5698" max="5698" width="14.33203125" style="30" customWidth="1"/>
    <col min="5699" max="5923" width="8.83203125" style="30"/>
    <col min="5924" max="5924" width="14.33203125" style="30" customWidth="1"/>
    <col min="5925" max="5926" width="3.33203125" style="30" customWidth="1"/>
    <col min="5927" max="5951" width="2.4140625" style="30" customWidth="1"/>
    <col min="5952" max="5953" width="3.33203125" style="30" customWidth="1"/>
    <col min="5954" max="5954" width="14.33203125" style="30" customWidth="1"/>
    <col min="5955" max="6179" width="8.83203125" style="30"/>
    <col min="6180" max="6180" width="14.33203125" style="30" customWidth="1"/>
    <col min="6181" max="6182" width="3.33203125" style="30" customWidth="1"/>
    <col min="6183" max="6207" width="2.4140625" style="30" customWidth="1"/>
    <col min="6208" max="6209" width="3.33203125" style="30" customWidth="1"/>
    <col min="6210" max="6210" width="14.33203125" style="30" customWidth="1"/>
    <col min="6211" max="6435" width="8.83203125" style="30"/>
    <col min="6436" max="6436" width="14.33203125" style="30" customWidth="1"/>
    <col min="6437" max="6438" width="3.33203125" style="30" customWidth="1"/>
    <col min="6439" max="6463" width="2.4140625" style="30" customWidth="1"/>
    <col min="6464" max="6465" width="3.33203125" style="30" customWidth="1"/>
    <col min="6466" max="6466" width="14.33203125" style="30" customWidth="1"/>
    <col min="6467" max="6691" width="8.83203125" style="30"/>
    <col min="6692" max="6692" width="14.33203125" style="30" customWidth="1"/>
    <col min="6693" max="6694" width="3.33203125" style="30" customWidth="1"/>
    <col min="6695" max="6719" width="2.4140625" style="30" customWidth="1"/>
    <col min="6720" max="6721" width="3.33203125" style="30" customWidth="1"/>
    <col min="6722" max="6722" width="14.33203125" style="30" customWidth="1"/>
    <col min="6723" max="6947" width="8.83203125" style="30"/>
    <col min="6948" max="6948" width="14.33203125" style="30" customWidth="1"/>
    <col min="6949" max="6950" width="3.33203125" style="30" customWidth="1"/>
    <col min="6951" max="6975" width="2.4140625" style="30" customWidth="1"/>
    <col min="6976" max="6977" width="3.33203125" style="30" customWidth="1"/>
    <col min="6978" max="6978" width="14.33203125" style="30" customWidth="1"/>
    <col min="6979" max="7203" width="8.83203125" style="30"/>
    <col min="7204" max="7204" width="14.33203125" style="30" customWidth="1"/>
    <col min="7205" max="7206" width="3.33203125" style="30" customWidth="1"/>
    <col min="7207" max="7231" width="2.4140625" style="30" customWidth="1"/>
    <col min="7232" max="7233" width="3.33203125" style="30" customWidth="1"/>
    <col min="7234" max="7234" width="14.33203125" style="30" customWidth="1"/>
    <col min="7235" max="7459" width="8.83203125" style="30"/>
    <col min="7460" max="7460" width="14.33203125" style="30" customWidth="1"/>
    <col min="7461" max="7462" width="3.33203125" style="30" customWidth="1"/>
    <col min="7463" max="7487" width="2.4140625" style="30" customWidth="1"/>
    <col min="7488" max="7489" width="3.33203125" style="30" customWidth="1"/>
    <col min="7490" max="7490" width="14.33203125" style="30" customWidth="1"/>
    <col min="7491" max="7715" width="8.83203125" style="30"/>
    <col min="7716" max="7716" width="14.33203125" style="30" customWidth="1"/>
    <col min="7717" max="7718" width="3.33203125" style="30" customWidth="1"/>
    <col min="7719" max="7743" width="2.4140625" style="30" customWidth="1"/>
    <col min="7744" max="7745" width="3.33203125" style="30" customWidth="1"/>
    <col min="7746" max="7746" width="14.33203125" style="30" customWidth="1"/>
    <col min="7747" max="7971" width="8.83203125" style="30"/>
    <col min="7972" max="7972" width="14.33203125" style="30" customWidth="1"/>
    <col min="7973" max="7974" width="3.33203125" style="30" customWidth="1"/>
    <col min="7975" max="7999" width="2.4140625" style="30" customWidth="1"/>
    <col min="8000" max="8001" width="3.33203125" style="30" customWidth="1"/>
    <col min="8002" max="8002" width="14.33203125" style="30" customWidth="1"/>
    <col min="8003" max="8227" width="8.83203125" style="30"/>
    <col min="8228" max="8228" width="14.33203125" style="30" customWidth="1"/>
    <col min="8229" max="8230" width="3.33203125" style="30" customWidth="1"/>
    <col min="8231" max="8255" width="2.4140625" style="30" customWidth="1"/>
    <col min="8256" max="8257" width="3.33203125" style="30" customWidth="1"/>
    <col min="8258" max="8258" width="14.33203125" style="30" customWidth="1"/>
    <col min="8259" max="8483" width="8.83203125" style="30"/>
    <col min="8484" max="8484" width="14.33203125" style="30" customWidth="1"/>
    <col min="8485" max="8486" width="3.33203125" style="30" customWidth="1"/>
    <col min="8487" max="8511" width="2.4140625" style="30" customWidth="1"/>
    <col min="8512" max="8513" width="3.33203125" style="30" customWidth="1"/>
    <col min="8514" max="8514" width="14.33203125" style="30" customWidth="1"/>
    <col min="8515" max="8739" width="8.83203125" style="30"/>
    <col min="8740" max="8740" width="14.33203125" style="30" customWidth="1"/>
    <col min="8741" max="8742" width="3.33203125" style="30" customWidth="1"/>
    <col min="8743" max="8767" width="2.4140625" style="30" customWidth="1"/>
    <col min="8768" max="8769" width="3.33203125" style="30" customWidth="1"/>
    <col min="8770" max="8770" width="14.33203125" style="30" customWidth="1"/>
    <col min="8771" max="8995" width="8.83203125" style="30"/>
    <col min="8996" max="8996" width="14.33203125" style="30" customWidth="1"/>
    <col min="8997" max="8998" width="3.33203125" style="30" customWidth="1"/>
    <col min="8999" max="9023" width="2.4140625" style="30" customWidth="1"/>
    <col min="9024" max="9025" width="3.33203125" style="30" customWidth="1"/>
    <col min="9026" max="9026" width="14.33203125" style="30" customWidth="1"/>
    <col min="9027" max="9251" width="8.83203125" style="30"/>
    <col min="9252" max="9252" width="14.33203125" style="30" customWidth="1"/>
    <col min="9253" max="9254" width="3.33203125" style="30" customWidth="1"/>
    <col min="9255" max="9279" width="2.4140625" style="30" customWidth="1"/>
    <col min="9280" max="9281" width="3.33203125" style="30" customWidth="1"/>
    <col min="9282" max="9282" width="14.33203125" style="30" customWidth="1"/>
    <col min="9283" max="9507" width="8.83203125" style="30"/>
    <col min="9508" max="9508" width="14.33203125" style="30" customWidth="1"/>
    <col min="9509" max="9510" width="3.33203125" style="30" customWidth="1"/>
    <col min="9511" max="9535" width="2.4140625" style="30" customWidth="1"/>
    <col min="9536" max="9537" width="3.33203125" style="30" customWidth="1"/>
    <col min="9538" max="9538" width="14.33203125" style="30" customWidth="1"/>
    <col min="9539" max="9763" width="8.83203125" style="30"/>
    <col min="9764" max="9764" width="14.33203125" style="30" customWidth="1"/>
    <col min="9765" max="9766" width="3.33203125" style="30" customWidth="1"/>
    <col min="9767" max="9791" width="2.4140625" style="30" customWidth="1"/>
    <col min="9792" max="9793" width="3.33203125" style="30" customWidth="1"/>
    <col min="9794" max="9794" width="14.33203125" style="30" customWidth="1"/>
    <col min="9795" max="10019" width="8.83203125" style="30"/>
    <col min="10020" max="10020" width="14.33203125" style="30" customWidth="1"/>
    <col min="10021" max="10022" width="3.33203125" style="30" customWidth="1"/>
    <col min="10023" max="10047" width="2.4140625" style="30" customWidth="1"/>
    <col min="10048" max="10049" width="3.33203125" style="30" customWidth="1"/>
    <col min="10050" max="10050" width="14.33203125" style="30" customWidth="1"/>
    <col min="10051" max="10275" width="8.83203125" style="30"/>
    <col min="10276" max="10276" width="14.33203125" style="30" customWidth="1"/>
    <col min="10277" max="10278" width="3.33203125" style="30" customWidth="1"/>
    <col min="10279" max="10303" width="2.4140625" style="30" customWidth="1"/>
    <col min="10304" max="10305" width="3.33203125" style="30" customWidth="1"/>
    <col min="10306" max="10306" width="14.33203125" style="30" customWidth="1"/>
    <col min="10307" max="10531" width="8.83203125" style="30"/>
    <col min="10532" max="10532" width="14.33203125" style="30" customWidth="1"/>
    <col min="10533" max="10534" width="3.33203125" style="30" customWidth="1"/>
    <col min="10535" max="10559" width="2.4140625" style="30" customWidth="1"/>
    <col min="10560" max="10561" width="3.33203125" style="30" customWidth="1"/>
    <col min="10562" max="10562" width="14.33203125" style="30" customWidth="1"/>
    <col min="10563" max="10787" width="8.83203125" style="30"/>
    <col min="10788" max="10788" width="14.33203125" style="30" customWidth="1"/>
    <col min="10789" max="10790" width="3.33203125" style="30" customWidth="1"/>
    <col min="10791" max="10815" width="2.4140625" style="30" customWidth="1"/>
    <col min="10816" max="10817" width="3.33203125" style="30" customWidth="1"/>
    <col min="10818" max="10818" width="14.33203125" style="30" customWidth="1"/>
    <col min="10819" max="11043" width="8.83203125" style="30"/>
    <col min="11044" max="11044" width="14.33203125" style="30" customWidth="1"/>
    <col min="11045" max="11046" width="3.33203125" style="30" customWidth="1"/>
    <col min="11047" max="11071" width="2.4140625" style="30" customWidth="1"/>
    <col min="11072" max="11073" width="3.33203125" style="30" customWidth="1"/>
    <col min="11074" max="11074" width="14.33203125" style="30" customWidth="1"/>
    <col min="11075" max="11299" width="8.83203125" style="30"/>
    <col min="11300" max="11300" width="14.33203125" style="30" customWidth="1"/>
    <col min="11301" max="11302" width="3.33203125" style="30" customWidth="1"/>
    <col min="11303" max="11327" width="2.4140625" style="30" customWidth="1"/>
    <col min="11328" max="11329" width="3.33203125" style="30" customWidth="1"/>
    <col min="11330" max="11330" width="14.33203125" style="30" customWidth="1"/>
    <col min="11331" max="11555" width="8.83203125" style="30"/>
    <col min="11556" max="11556" width="14.33203125" style="30" customWidth="1"/>
    <col min="11557" max="11558" width="3.33203125" style="30" customWidth="1"/>
    <col min="11559" max="11583" width="2.4140625" style="30" customWidth="1"/>
    <col min="11584" max="11585" width="3.33203125" style="30" customWidth="1"/>
    <col min="11586" max="11586" width="14.33203125" style="30" customWidth="1"/>
    <col min="11587" max="11811" width="8.83203125" style="30"/>
    <col min="11812" max="11812" width="14.33203125" style="30" customWidth="1"/>
    <col min="11813" max="11814" width="3.33203125" style="30" customWidth="1"/>
    <col min="11815" max="11839" width="2.4140625" style="30" customWidth="1"/>
    <col min="11840" max="11841" width="3.33203125" style="30" customWidth="1"/>
    <col min="11842" max="11842" width="14.33203125" style="30" customWidth="1"/>
    <col min="11843" max="12067" width="8.83203125" style="30"/>
    <col min="12068" max="12068" width="14.33203125" style="30" customWidth="1"/>
    <col min="12069" max="12070" width="3.33203125" style="30" customWidth="1"/>
    <col min="12071" max="12095" width="2.4140625" style="30" customWidth="1"/>
    <col min="12096" max="12097" width="3.33203125" style="30" customWidth="1"/>
    <col min="12098" max="12098" width="14.33203125" style="30" customWidth="1"/>
    <col min="12099" max="12323" width="8.83203125" style="30"/>
    <col min="12324" max="12324" width="14.33203125" style="30" customWidth="1"/>
    <col min="12325" max="12326" width="3.33203125" style="30" customWidth="1"/>
    <col min="12327" max="12351" width="2.4140625" style="30" customWidth="1"/>
    <col min="12352" max="12353" width="3.33203125" style="30" customWidth="1"/>
    <col min="12354" max="12354" width="14.33203125" style="30" customWidth="1"/>
    <col min="12355" max="12579" width="8.83203125" style="30"/>
    <col min="12580" max="12580" width="14.33203125" style="30" customWidth="1"/>
    <col min="12581" max="12582" width="3.33203125" style="30" customWidth="1"/>
    <col min="12583" max="12607" width="2.4140625" style="30" customWidth="1"/>
    <col min="12608" max="12609" width="3.33203125" style="30" customWidth="1"/>
    <col min="12610" max="12610" width="14.33203125" style="30" customWidth="1"/>
    <col min="12611" max="12835" width="8.83203125" style="30"/>
    <col min="12836" max="12836" width="14.33203125" style="30" customWidth="1"/>
    <col min="12837" max="12838" width="3.33203125" style="30" customWidth="1"/>
    <col min="12839" max="12863" width="2.4140625" style="30" customWidth="1"/>
    <col min="12864" max="12865" width="3.33203125" style="30" customWidth="1"/>
    <col min="12866" max="12866" width="14.33203125" style="30" customWidth="1"/>
    <col min="12867" max="13091" width="8.83203125" style="30"/>
    <col min="13092" max="13092" width="14.33203125" style="30" customWidth="1"/>
    <col min="13093" max="13094" width="3.33203125" style="30" customWidth="1"/>
    <col min="13095" max="13119" width="2.4140625" style="30" customWidth="1"/>
    <col min="13120" max="13121" width="3.33203125" style="30" customWidth="1"/>
    <col min="13122" max="13122" width="14.33203125" style="30" customWidth="1"/>
    <col min="13123" max="13347" width="8.83203125" style="30"/>
    <col min="13348" max="13348" width="14.33203125" style="30" customWidth="1"/>
    <col min="13349" max="13350" width="3.33203125" style="30" customWidth="1"/>
    <col min="13351" max="13375" width="2.4140625" style="30" customWidth="1"/>
    <col min="13376" max="13377" width="3.33203125" style="30" customWidth="1"/>
    <col min="13378" max="13378" width="14.33203125" style="30" customWidth="1"/>
    <col min="13379" max="13603" width="8.83203125" style="30"/>
    <col min="13604" max="13604" width="14.33203125" style="30" customWidth="1"/>
    <col min="13605" max="13606" width="3.33203125" style="30" customWidth="1"/>
    <col min="13607" max="13631" width="2.4140625" style="30" customWidth="1"/>
    <col min="13632" max="13633" width="3.33203125" style="30" customWidth="1"/>
    <col min="13634" max="13634" width="14.33203125" style="30" customWidth="1"/>
    <col min="13635" max="13859" width="8.83203125" style="30"/>
    <col min="13860" max="13860" width="14.33203125" style="30" customWidth="1"/>
    <col min="13861" max="13862" width="3.33203125" style="30" customWidth="1"/>
    <col min="13863" max="13887" width="2.4140625" style="30" customWidth="1"/>
    <col min="13888" max="13889" width="3.33203125" style="30" customWidth="1"/>
    <col min="13890" max="13890" width="14.33203125" style="30" customWidth="1"/>
    <col min="13891" max="14115" width="8.83203125" style="30"/>
    <col min="14116" max="14116" width="14.33203125" style="30" customWidth="1"/>
    <col min="14117" max="14118" width="3.33203125" style="30" customWidth="1"/>
    <col min="14119" max="14143" width="2.4140625" style="30" customWidth="1"/>
    <col min="14144" max="14145" width="3.33203125" style="30" customWidth="1"/>
    <col min="14146" max="14146" width="14.33203125" style="30" customWidth="1"/>
    <col min="14147" max="14371" width="8.83203125" style="30"/>
    <col min="14372" max="14372" width="14.33203125" style="30" customWidth="1"/>
    <col min="14373" max="14374" width="3.33203125" style="30" customWidth="1"/>
    <col min="14375" max="14399" width="2.4140625" style="30" customWidth="1"/>
    <col min="14400" max="14401" width="3.33203125" style="30" customWidth="1"/>
    <col min="14402" max="14402" width="14.33203125" style="30" customWidth="1"/>
    <col min="14403" max="14627" width="8.83203125" style="30"/>
    <col min="14628" max="14628" width="14.33203125" style="30" customWidth="1"/>
    <col min="14629" max="14630" width="3.33203125" style="30" customWidth="1"/>
    <col min="14631" max="14655" width="2.4140625" style="30" customWidth="1"/>
    <col min="14656" max="14657" width="3.33203125" style="30" customWidth="1"/>
    <col min="14658" max="14658" width="14.33203125" style="30" customWidth="1"/>
    <col min="14659" max="14883" width="8.83203125" style="30"/>
    <col min="14884" max="14884" width="14.33203125" style="30" customWidth="1"/>
    <col min="14885" max="14886" width="3.33203125" style="30" customWidth="1"/>
    <col min="14887" max="14911" width="2.4140625" style="30" customWidth="1"/>
    <col min="14912" max="14913" width="3.33203125" style="30" customWidth="1"/>
    <col min="14914" max="14914" width="14.33203125" style="30" customWidth="1"/>
    <col min="14915" max="15139" width="8.83203125" style="30"/>
    <col min="15140" max="15140" width="14.33203125" style="30" customWidth="1"/>
    <col min="15141" max="15142" width="3.33203125" style="30" customWidth="1"/>
    <col min="15143" max="15167" width="2.4140625" style="30" customWidth="1"/>
    <col min="15168" max="15169" width="3.33203125" style="30" customWidth="1"/>
    <col min="15170" max="15170" width="14.33203125" style="30" customWidth="1"/>
    <col min="15171" max="15395" width="8.83203125" style="30"/>
    <col min="15396" max="15396" width="14.33203125" style="30" customWidth="1"/>
    <col min="15397" max="15398" width="3.33203125" style="30" customWidth="1"/>
    <col min="15399" max="15423" width="2.4140625" style="30" customWidth="1"/>
    <col min="15424" max="15425" width="3.33203125" style="30" customWidth="1"/>
    <col min="15426" max="15426" width="14.33203125" style="30" customWidth="1"/>
    <col min="15427" max="15651" width="8.83203125" style="30"/>
    <col min="15652" max="15652" width="14.33203125" style="30" customWidth="1"/>
    <col min="15653" max="15654" width="3.33203125" style="30" customWidth="1"/>
    <col min="15655" max="15679" width="2.4140625" style="30" customWidth="1"/>
    <col min="15680" max="15681" width="3.33203125" style="30" customWidth="1"/>
    <col min="15682" max="15682" width="14.33203125" style="30" customWidth="1"/>
    <col min="15683" max="15907" width="8.83203125" style="30"/>
    <col min="15908" max="15908" width="14.33203125" style="30" customWidth="1"/>
    <col min="15909" max="15910" width="3.33203125" style="30" customWidth="1"/>
    <col min="15911" max="15935" width="2.4140625" style="30" customWidth="1"/>
    <col min="15936" max="15937" width="3.33203125" style="30" customWidth="1"/>
    <col min="15938" max="15938" width="14.33203125" style="30" customWidth="1"/>
    <col min="15939" max="16163" width="8.83203125" style="30"/>
    <col min="16164" max="16164" width="14.33203125" style="30" customWidth="1"/>
    <col min="16165" max="16166" width="3.33203125" style="30" customWidth="1"/>
    <col min="16167" max="16191" width="2.4140625" style="30" customWidth="1"/>
    <col min="16192" max="16193" width="3.33203125" style="30" customWidth="1"/>
    <col min="16194" max="16194" width="14.33203125" style="30" customWidth="1"/>
    <col min="16195" max="16384" width="8.83203125" style="30"/>
  </cols>
  <sheetData>
    <row r="1" spans="1:69" ht="25" customHeight="1" x14ac:dyDescent="0.55000000000000004">
      <c r="A1" s="29" t="s">
        <v>365</v>
      </c>
      <c r="BO1" s="4"/>
      <c r="BP1" s="4"/>
      <c r="BQ1" s="4"/>
    </row>
    <row r="2" spans="1:69" ht="25" customHeight="1" x14ac:dyDescent="0.55000000000000004">
      <c r="A2" s="29"/>
      <c r="BO2" s="4"/>
      <c r="BP2" s="4"/>
      <c r="BQ2" s="4"/>
    </row>
    <row r="3" spans="1:69" ht="25" customHeight="1" x14ac:dyDescent="0.55000000000000004">
      <c r="A3" s="29"/>
      <c r="BO3" s="4"/>
      <c r="BP3" s="4"/>
      <c r="BQ3" s="4"/>
    </row>
    <row r="4" spans="1:69" ht="25" customHeight="1" x14ac:dyDescent="0.55000000000000004">
      <c r="A4" s="29"/>
      <c r="BO4" s="4"/>
      <c r="BP4" s="4"/>
      <c r="BQ4" s="4"/>
    </row>
    <row r="5" spans="1:69" ht="25" customHeight="1" x14ac:dyDescent="0.55000000000000004">
      <c r="A5" s="29"/>
      <c r="BN5" s="31"/>
      <c r="BO5" s="4"/>
      <c r="BP5" s="4"/>
      <c r="BQ5" s="158" t="s">
        <v>1183</v>
      </c>
    </row>
    <row r="7" spans="1:69" x14ac:dyDescent="0.55000000000000004">
      <c r="B7" s="128" t="s">
        <v>258</v>
      </c>
      <c r="C7" s="129"/>
      <c r="D7" s="32" t="s">
        <v>275</v>
      </c>
      <c r="E7" s="32" t="s">
        <v>274</v>
      </c>
    </row>
    <row r="8" spans="1:69" x14ac:dyDescent="0.55000000000000004">
      <c r="B8" s="121" t="s">
        <v>273</v>
      </c>
      <c r="C8" s="33" t="s">
        <v>269</v>
      </c>
      <c r="D8" s="33">
        <f>COUNTIF('PF176'!AA10:AA185,"CAN0_0_RX")</f>
        <v>0</v>
      </c>
      <c r="E8" s="33">
        <f>COUNTIF('PF176'!AA10:AA185,"CAN0_1_RX")</f>
        <v>0</v>
      </c>
    </row>
    <row r="9" spans="1:69" x14ac:dyDescent="0.55000000000000004">
      <c r="B9" s="123"/>
      <c r="C9" s="33" t="s">
        <v>268</v>
      </c>
      <c r="D9" s="33">
        <f>COUNTIF('PF176'!AA10:AA185,"CAN0_0_TX")</f>
        <v>0</v>
      </c>
      <c r="E9" s="33">
        <f>COUNTIF('PF176'!AA10:AA185,"CAN0_1_TX")</f>
        <v>0</v>
      </c>
    </row>
    <row r="11" spans="1:69" x14ac:dyDescent="0.55000000000000004">
      <c r="B11" s="128" t="s">
        <v>254</v>
      </c>
      <c r="C11" s="129"/>
      <c r="D11" s="32" t="s">
        <v>276</v>
      </c>
      <c r="E11" s="32" t="s">
        <v>277</v>
      </c>
    </row>
    <row r="12" spans="1:69" x14ac:dyDescent="0.55000000000000004">
      <c r="B12" s="131" t="s">
        <v>273</v>
      </c>
      <c r="C12" s="33" t="s">
        <v>269</v>
      </c>
      <c r="D12" s="33">
        <f>COUNTIF('PF176'!AA10:AA185,"CAN1_0_RX")</f>
        <v>0</v>
      </c>
      <c r="E12" s="33">
        <f>COUNTIF('PF176'!AA10:AA185,"CAN1_1_RX")</f>
        <v>0</v>
      </c>
    </row>
    <row r="13" spans="1:69" x14ac:dyDescent="0.55000000000000004">
      <c r="B13" s="131"/>
      <c r="C13" s="33" t="s">
        <v>268</v>
      </c>
      <c r="D13" s="33">
        <f>COUNTIF('PF176'!AA10:AA185,"CAN1_0_TX")</f>
        <v>0</v>
      </c>
      <c r="E13" s="33">
        <f>COUNTIF('PF176'!AA10:AA185,"CAN1_1_TX")</f>
        <v>0</v>
      </c>
    </row>
    <row r="14" spans="1:69" x14ac:dyDescent="0.55000000000000004">
      <c r="B14" s="34"/>
    </row>
    <row r="16" spans="1:69" x14ac:dyDescent="0.55000000000000004">
      <c r="B16" s="128" t="s">
        <v>257</v>
      </c>
      <c r="C16" s="129"/>
      <c r="D16" s="32" t="s">
        <v>270</v>
      </c>
      <c r="E16" s="32" t="s">
        <v>271</v>
      </c>
    </row>
    <row r="17" spans="2:59" x14ac:dyDescent="0.55000000000000004">
      <c r="B17" s="121" t="s">
        <v>273</v>
      </c>
      <c r="C17" s="33" t="s">
        <v>269</v>
      </c>
      <c r="D17" s="33">
        <f>COUNTIF('PF176'!AA10:AA185,"LIN0_RX")</f>
        <v>0</v>
      </c>
      <c r="E17" s="33">
        <f>COUNTIF('PF176'!AA10:AA185,"LIN1_RX")</f>
        <v>0</v>
      </c>
    </row>
    <row r="18" spans="2:59" x14ac:dyDescent="0.55000000000000004">
      <c r="B18" s="122"/>
      <c r="C18" s="33" t="s">
        <v>268</v>
      </c>
      <c r="D18" s="33">
        <f>COUNTIF('PF176'!AA10:AA185,"LIN0_TX")</f>
        <v>0</v>
      </c>
      <c r="E18" s="33">
        <f>COUNTIF('PF176'!AA10:AA185,"LIN1_TX")</f>
        <v>0</v>
      </c>
    </row>
    <row r="19" spans="2:59" x14ac:dyDescent="0.55000000000000004">
      <c r="B19" s="123"/>
      <c r="C19" s="33" t="s">
        <v>272</v>
      </c>
      <c r="D19" s="33">
        <f>COUNTIF('PF176'!AA10:AA185,"LIN0_EN")</f>
        <v>0</v>
      </c>
      <c r="E19" s="33">
        <f>COUNTIF('PF176'!AA10:AA185,"LIN1_EN")</f>
        <v>0</v>
      </c>
    </row>
    <row r="20" spans="2:59" x14ac:dyDescent="0.55000000000000004">
      <c r="B20" s="34"/>
    </row>
    <row r="22" spans="2:59" x14ac:dyDescent="0.55000000000000004">
      <c r="B22" s="124" t="s">
        <v>259</v>
      </c>
      <c r="C22" s="125"/>
      <c r="D22" s="91" t="s">
        <v>260</v>
      </c>
      <c r="E22" s="91" t="s">
        <v>261</v>
      </c>
      <c r="F22" s="91" t="s">
        <v>262</v>
      </c>
      <c r="G22" s="91" t="s">
        <v>263</v>
      </c>
      <c r="H22" s="91" t="s">
        <v>267</v>
      </c>
      <c r="I22" s="91" t="s">
        <v>266</v>
      </c>
      <c r="J22" s="91" t="s">
        <v>265</v>
      </c>
      <c r="K22" s="91" t="s">
        <v>264</v>
      </c>
      <c r="L22" s="91" t="s">
        <v>1063</v>
      </c>
      <c r="M22" s="91" t="s">
        <v>1064</v>
      </c>
      <c r="N22" s="91" t="s">
        <v>1065</v>
      </c>
      <c r="O22" s="91" t="s">
        <v>1066</v>
      </c>
    </row>
    <row r="23" spans="2:59" x14ac:dyDescent="0.55000000000000004">
      <c r="B23" s="132" t="s">
        <v>1181</v>
      </c>
      <c r="C23" s="133"/>
      <c r="D23" s="90" t="s">
        <v>1180</v>
      </c>
      <c r="E23" s="90" t="s">
        <v>1180</v>
      </c>
      <c r="F23" s="90" t="s">
        <v>1180</v>
      </c>
      <c r="G23" s="90" t="s">
        <v>1180</v>
      </c>
      <c r="H23" s="90" t="s">
        <v>1180</v>
      </c>
      <c r="I23" s="90" t="s">
        <v>1180</v>
      </c>
      <c r="J23" s="90" t="s">
        <v>1180</v>
      </c>
      <c r="K23" s="90" t="s">
        <v>1180</v>
      </c>
      <c r="L23" s="90" t="s">
        <v>1180</v>
      </c>
      <c r="M23" s="90" t="s">
        <v>1180</v>
      </c>
      <c r="N23" s="90" t="s">
        <v>1180</v>
      </c>
      <c r="O23" s="90" t="s">
        <v>1180</v>
      </c>
    </row>
    <row r="24" spans="2:59" ht="10" customHeight="1" x14ac:dyDescent="0.55000000000000004">
      <c r="B24" s="136" t="s">
        <v>284</v>
      </c>
      <c r="C24" s="35" t="s">
        <v>611</v>
      </c>
      <c r="D24" s="36">
        <f>COUNTIF('PF176'!AA10:AA185,"SCB0_CLK (0)")</f>
        <v>0</v>
      </c>
      <c r="E24" s="37">
        <f>COUNTIF('PF176'!AA10:AA185,"SCB1_CLK (0)")</f>
        <v>0</v>
      </c>
      <c r="F24" s="37">
        <f>COUNTIF('PF176'!AA10:AA185,"SCB2_CLK (0)")</f>
        <v>0</v>
      </c>
      <c r="G24" s="37">
        <f>COUNTIF('PF176'!AA10:AA185,"SCB3_CLK (0)")</f>
        <v>0</v>
      </c>
      <c r="H24" s="37">
        <f>COUNTIF('PF176'!AA10:AA185,"SCB4_CLK (0)")</f>
        <v>0</v>
      </c>
      <c r="I24" s="37">
        <f>COUNTIF('PF176'!AA10:AA185,"SCB5_CLK (0)")</f>
        <v>0</v>
      </c>
      <c r="J24" s="37">
        <f>COUNTIF('PF176'!AA10:AA185,"SCB6_CLK (0)")</f>
        <v>0</v>
      </c>
      <c r="K24" s="37">
        <f>COUNTIF('PF176'!AA10:AA185,"SCB7_CLK (0)")</f>
        <v>0</v>
      </c>
      <c r="L24" s="37">
        <f>COUNTIF('PF176'!AA10:AA185,"SCB8_CLK (0)")</f>
        <v>0</v>
      </c>
      <c r="M24" s="37">
        <f>COUNTIF('PF176'!AA10:AA185,"SCB9_CLK (0)")</f>
        <v>0</v>
      </c>
      <c r="N24" s="37">
        <f>COUNTIF('PF176'!AA10:AA185,"SCB10_CLK (0)")</f>
        <v>0</v>
      </c>
      <c r="O24" s="37">
        <f>COUNTIF('PF176'!AA10:AA185,"SCB11_CLK (0)")</f>
        <v>0</v>
      </c>
      <c r="BG24" s="38"/>
    </row>
    <row r="25" spans="2:59" ht="10" customHeight="1" x14ac:dyDescent="0.55000000000000004">
      <c r="B25" s="144"/>
      <c r="C25" s="35" t="s">
        <v>612</v>
      </c>
      <c r="D25" s="36">
        <f>COUNTIF('PF176'!AA10:AA185,"SCB0_CLK (1)")</f>
        <v>0</v>
      </c>
      <c r="E25" s="37">
        <f>COUNTIF('PF176'!AA10:AA185,"SCB1_CLK (1)")</f>
        <v>0</v>
      </c>
      <c r="F25" s="37">
        <f>COUNTIF('PF176'!AA10:AA185,"SCB2_CLK (1)")</f>
        <v>0</v>
      </c>
      <c r="G25" s="37">
        <f>COUNTIF('PF176'!AA10:AA185,"SCB3_CLK (1)")</f>
        <v>0</v>
      </c>
      <c r="H25" s="37">
        <f>COUNTIF('PF176'!AA10:AA185,"SCB4_CLK (1)")</f>
        <v>0</v>
      </c>
      <c r="I25" s="37">
        <f>COUNTIF('PF176'!AA10:AA185,"SCB5_CLK (1)")</f>
        <v>0</v>
      </c>
      <c r="J25" s="37">
        <f>COUNTIF('PF176'!AA10:AA185,"SCB6_CLK (1)")</f>
        <v>0</v>
      </c>
      <c r="K25" s="37">
        <f>COUNTIF('PF176'!AA10:AA185,"SCB7_CLK (1)")</f>
        <v>0</v>
      </c>
      <c r="L25" s="37">
        <f>COUNTIF('PF176'!AA10:AA185,"SCB8_CLK (1)")</f>
        <v>0</v>
      </c>
      <c r="M25" s="37">
        <f>COUNTIF('PF176'!AA10:AA185,"SCB9_CLK (1)")</f>
        <v>0</v>
      </c>
      <c r="N25" s="37">
        <f>COUNTIF('PF176'!AA10:AA185,"SCB10_CLK (1)")</f>
        <v>0</v>
      </c>
      <c r="O25" s="37">
        <f>COUNTIF('PF176'!AA10:AA185,"SCB11_CLK (1)")</f>
        <v>0</v>
      </c>
      <c r="BG25" s="38"/>
    </row>
    <row r="26" spans="2:59" ht="10" customHeight="1" x14ac:dyDescent="0.55000000000000004">
      <c r="B26" s="144"/>
      <c r="C26" s="35" t="s">
        <v>613</v>
      </c>
      <c r="D26" s="36">
        <f>COUNTIF('PF176'!AA10:AA185,"SCB0_MOSI (0)")</f>
        <v>0</v>
      </c>
      <c r="E26" s="37">
        <f>COUNTIF('PF176'!AA10:AA185,"SCB1_MOSI (0)")</f>
        <v>0</v>
      </c>
      <c r="F26" s="37">
        <f>COUNTIF('PF176'!AA10:AA185,"SCB2_MOSI (0)")</f>
        <v>0</v>
      </c>
      <c r="G26" s="37">
        <f>COUNTIF('PF176'!AA10:AA185,"SCB3_MOSI (0)")</f>
        <v>0</v>
      </c>
      <c r="H26" s="37">
        <f>COUNTIF('PF176'!AA10:AA185,"SCB4_MOSI (0)")</f>
        <v>0</v>
      </c>
      <c r="I26" s="37">
        <f>COUNTIF('PF176'!AA10:AA185,"SCB5_MOSI (0)")</f>
        <v>0</v>
      </c>
      <c r="J26" s="37">
        <f>COUNTIF('PF176'!AA10:AA185,"SCB6_MOSI (0)")</f>
        <v>0</v>
      </c>
      <c r="K26" s="37">
        <f>COUNTIF('PF176'!AA10:AA185,"SCB7_MOSI (0)")</f>
        <v>0</v>
      </c>
      <c r="L26" s="37">
        <f>COUNTIF('PF176'!AA10:AA185,"SCB8_MOSI (0)")</f>
        <v>0</v>
      </c>
      <c r="M26" s="37">
        <f>COUNTIF('PF176'!AA10:AA185,"SCB9_MOSI (0)")</f>
        <v>0</v>
      </c>
      <c r="N26" s="37">
        <f>COUNTIF('PF176'!AA10:AA185,"SCB10_MOSI (0)")</f>
        <v>0</v>
      </c>
      <c r="O26" s="37">
        <f>COUNTIF('PF176'!AA10:AA185,"SCB11_MOSI (0)")</f>
        <v>0</v>
      </c>
    </row>
    <row r="27" spans="2:59" ht="10" customHeight="1" x14ac:dyDescent="0.55000000000000004">
      <c r="B27" s="144"/>
      <c r="C27" s="35" t="s">
        <v>614</v>
      </c>
      <c r="D27" s="36">
        <f>COUNTIF('PF176'!AA10:AA185,"SCB0_MOSI (1)")</f>
        <v>0</v>
      </c>
      <c r="E27" s="37">
        <f>COUNTIF('PF176'!AA10:AA185,"SCB1_MOSI (1)")</f>
        <v>0</v>
      </c>
      <c r="F27" s="37">
        <f>COUNTIF('PF176'!AA10:AA185,"SCB2_MOSI (1)")</f>
        <v>0</v>
      </c>
      <c r="G27" s="37">
        <f>COUNTIF('PF176'!AA10:AA185,"SCB3_MOSI (1)")</f>
        <v>0</v>
      </c>
      <c r="H27" s="37">
        <f>COUNTIF('PF176'!AA10:AA185,"SCB4_MOSI (1)")</f>
        <v>0</v>
      </c>
      <c r="I27" s="37">
        <f>COUNTIF('PF176'!AA10:AA185,"SCB5_MOSI (1)")</f>
        <v>0</v>
      </c>
      <c r="J27" s="37">
        <f>COUNTIF('PF176'!AA10:AA185,"SCB6_MOSI (1)")</f>
        <v>0</v>
      </c>
      <c r="K27" s="37">
        <f>COUNTIF('PF176'!AA10:AA185,"SCB7_MOSI (1)")</f>
        <v>0</v>
      </c>
      <c r="L27" s="37">
        <f>COUNTIF('PF176'!AA10:AA185,"SCB8_MOSI (1)")</f>
        <v>0</v>
      </c>
      <c r="M27" s="37">
        <f>COUNTIF('PF176'!AA10:AA185,"SCB9_MOSI (1)")</f>
        <v>0</v>
      </c>
      <c r="N27" s="37">
        <f>COUNTIF('PF176'!AA10:AA185,"SCB10_MOSI (1)")</f>
        <v>0</v>
      </c>
      <c r="O27" s="37">
        <f>COUNTIF('PF176'!AA10:AA185,"SCB11_MOSI (1)")</f>
        <v>0</v>
      </c>
    </row>
    <row r="28" spans="2:59" ht="10" customHeight="1" x14ac:dyDescent="0.55000000000000004">
      <c r="B28" s="144"/>
      <c r="C28" s="35" t="s">
        <v>615</v>
      </c>
      <c r="D28" s="36">
        <f>COUNTIF('PF176'!AA10:AA185,"SCB0_MISO (0)")</f>
        <v>0</v>
      </c>
      <c r="E28" s="37">
        <f>COUNTIF('PF176'!AA10:AA185,"SCB1_MISO (0)")</f>
        <v>0</v>
      </c>
      <c r="F28" s="37">
        <f>COUNTIF('PF176'!AA10:AA185,"SCB2_MISO (0)")</f>
        <v>0</v>
      </c>
      <c r="G28" s="37">
        <f>COUNTIF('PF176'!AA10:AA185,"SCB3_MISO (0)")</f>
        <v>0</v>
      </c>
      <c r="H28" s="37">
        <f>COUNTIF('PF176'!AA10:AA185,"SCB4_MISO (0)")</f>
        <v>0</v>
      </c>
      <c r="I28" s="37">
        <f>COUNTIF('PF176'!AA10:AA185,"SCB5_MISO (0)")</f>
        <v>0</v>
      </c>
      <c r="J28" s="37">
        <f>COUNTIF('PF176'!AA10:AA185,"SCB6_MISO (0)")</f>
        <v>0</v>
      </c>
      <c r="K28" s="37">
        <f>COUNTIF('PF176'!AA10:AA185,"SCB7_MISO (0)")</f>
        <v>0</v>
      </c>
      <c r="L28" s="37">
        <f>COUNTIF('PF176'!AA10:AA185,"SCB8_MISO (0)")</f>
        <v>0</v>
      </c>
      <c r="M28" s="37">
        <f>COUNTIF('PF176'!AA10:AA185,"SCB9_MISO (0)")</f>
        <v>0</v>
      </c>
      <c r="N28" s="37">
        <f>COUNTIF('PF176'!AA10:AA185,"SCB10_MISO (0)")</f>
        <v>0</v>
      </c>
      <c r="O28" s="37">
        <f>COUNTIF('PF176'!AA10:AA185,"SCB11_MISO (0)")</f>
        <v>0</v>
      </c>
    </row>
    <row r="29" spans="2:59" ht="10" customHeight="1" x14ac:dyDescent="0.55000000000000004">
      <c r="B29" s="144"/>
      <c r="C29" s="35" t="s">
        <v>616</v>
      </c>
      <c r="D29" s="36">
        <f>COUNTIF('PF176'!AA10:AA185,"SCB0_MISO (1)")</f>
        <v>0</v>
      </c>
      <c r="E29" s="37">
        <f>COUNTIF('PF176'!AA10:AA185,"SCB1_MISO (1)")</f>
        <v>0</v>
      </c>
      <c r="F29" s="37">
        <f>COUNTIF('PF176'!AA10:AA185,"SCB2_MISO (1)")</f>
        <v>0</v>
      </c>
      <c r="G29" s="37">
        <f>COUNTIF('PF176'!AA10:AA185,"SCB3_MISO (1)")</f>
        <v>0</v>
      </c>
      <c r="H29" s="37">
        <f>COUNTIF('PF176'!AA10:AA185,"SCB4_MISO (1)")</f>
        <v>0</v>
      </c>
      <c r="I29" s="37">
        <f>COUNTIF('PF176'!AA10:AA185,"SCB5_MISO (1)")</f>
        <v>0</v>
      </c>
      <c r="J29" s="37">
        <f>COUNTIF('PF176'!AA10:AA185,"SCB6_MISO (1)")</f>
        <v>0</v>
      </c>
      <c r="K29" s="37">
        <f>COUNTIF('PF176'!AA10:AA185,"SCB7_MISO (1)")</f>
        <v>0</v>
      </c>
      <c r="L29" s="37">
        <f>COUNTIF('PF176'!AA10:AA185,"SCB8_MISO (1)")</f>
        <v>0</v>
      </c>
      <c r="M29" s="37">
        <f>COUNTIF('PF176'!AA10:AA185,"SCB9_MISO (1)")</f>
        <v>0</v>
      </c>
      <c r="N29" s="37">
        <f>COUNTIF('PF176'!AA10:AA185,"SCB10_MISO (1)")</f>
        <v>0</v>
      </c>
      <c r="O29" s="37">
        <f>COUNTIF('PF176'!AA10:AA185,"SCB11_MISO (1)")</f>
        <v>0</v>
      </c>
    </row>
    <row r="30" spans="2:59" ht="10" customHeight="1" x14ac:dyDescent="0.55000000000000004">
      <c r="B30" s="144"/>
      <c r="C30" s="35" t="s">
        <v>617</v>
      </c>
      <c r="D30" s="36">
        <f>COUNTIF('PF176'!AA10:AA185,"SCB0_SEL0 (0)")</f>
        <v>0</v>
      </c>
      <c r="E30" s="37">
        <f>COUNTIF('PF176'!AA10:AA185,"SCB1_SEL0 (0)")</f>
        <v>0</v>
      </c>
      <c r="F30" s="37">
        <f>COUNTIF('PF176'!AA10:AA185,"SCB2_SEL0 (0)")</f>
        <v>0</v>
      </c>
      <c r="G30" s="37">
        <f>COUNTIF('PF176'!AA10:AA185,"SCB3_SEL0 (0)")</f>
        <v>0</v>
      </c>
      <c r="H30" s="37">
        <f>COUNTIF('PF176'!AA10:AA185,"SCB4_SEL0 (0)")</f>
        <v>0</v>
      </c>
      <c r="I30" s="36">
        <f>COUNTIF('PF176'!AA10:AA185,"SCB5_SEL0 (0)")</f>
        <v>0</v>
      </c>
      <c r="J30" s="36">
        <f>COUNTIF('PF176'!AA10:AA185,"SCB6_SEL0 (0)")</f>
        <v>0</v>
      </c>
      <c r="K30" s="37">
        <f>COUNTIF('PF176'!AA10:AA185,"SCB7_SEL0 (0)")</f>
        <v>0</v>
      </c>
      <c r="L30" s="37">
        <f>COUNTIF('PF176'!AA10:AA185,"SCB8_SEL0 (0)")</f>
        <v>0</v>
      </c>
      <c r="M30" s="37">
        <f>COUNTIF('PF176'!AA10:AA185,"SCB9_SEL0 (0)")</f>
        <v>0</v>
      </c>
      <c r="N30" s="37">
        <f>COUNTIF('PF176'!AA10:AA185,"SCB10_SEL0 (0)")</f>
        <v>0</v>
      </c>
      <c r="O30" s="37">
        <f>COUNTIF('PF176'!AA10:AA185,"SCB11_SEL0 (0)")</f>
        <v>0</v>
      </c>
    </row>
    <row r="31" spans="2:59" ht="10" customHeight="1" x14ac:dyDescent="0.55000000000000004">
      <c r="B31" s="144"/>
      <c r="C31" s="35" t="s">
        <v>618</v>
      </c>
      <c r="D31" s="36">
        <f>COUNTIF('PF176'!AA10:AA185,"SCB0_SEL0 (1)")</f>
        <v>0</v>
      </c>
      <c r="E31" s="37">
        <f>COUNTIF('PF176'!AA10:AA185,"SCB1_SEL0 (1)")</f>
        <v>0</v>
      </c>
      <c r="F31" s="37">
        <f>COUNTIF('PF176'!AA10:AA185,"SCB2_SEL0 (1)")</f>
        <v>0</v>
      </c>
      <c r="G31" s="37">
        <f>COUNTIF('PF176'!AA10:AA185,"SCB3_SEL0 (1)")</f>
        <v>0</v>
      </c>
      <c r="H31" s="37">
        <f>COUNTIF('PF176'!AA10:AA185,"SCB4_SEL0 (1)")</f>
        <v>0</v>
      </c>
      <c r="I31" s="36">
        <f>COUNTIF('PF176'!AA10:AA185,"SCB5_SEL0 (1)")</f>
        <v>0</v>
      </c>
      <c r="J31" s="36">
        <f>COUNTIF('PF176'!AA10:AA185,"SCB6_SEL0 (1)")</f>
        <v>0</v>
      </c>
      <c r="K31" s="37">
        <f>COUNTIF('PF176'!AA10:AA185,"SCB7_SEL0 (1)")</f>
        <v>0</v>
      </c>
      <c r="L31" s="37">
        <f>COUNTIF('PF176'!AA10:AA185,"SCB8_SEL0 (1)")</f>
        <v>0</v>
      </c>
      <c r="M31" s="37">
        <f>COUNTIF('PF176'!AA10:AA185,"SCB9_SEL0 (1)")</f>
        <v>0</v>
      </c>
      <c r="N31" s="37">
        <f>COUNTIF('PF176'!AA10:AA185,"SCB10_SEL0 (1)")</f>
        <v>0</v>
      </c>
      <c r="O31" s="37">
        <f>COUNTIF('PF176'!AA10:AA185,"SCB11_SEL0 (1)")</f>
        <v>0</v>
      </c>
    </row>
    <row r="32" spans="2:59" ht="10" customHeight="1" x14ac:dyDescent="0.55000000000000004">
      <c r="B32" s="144"/>
      <c r="C32" s="35" t="s">
        <v>619</v>
      </c>
      <c r="D32" s="36">
        <f>COUNTIF('PF176'!AA10:AA185,"SCB0_SEL1 (0)")</f>
        <v>0</v>
      </c>
      <c r="E32" s="37">
        <f>COUNTIF('PF176'!AA10:AA185,"SCB1_SEL1 (0)")</f>
        <v>0</v>
      </c>
      <c r="F32" s="37">
        <f>COUNTIF('PF176'!AA10:AA185,"SCB2_SEL1 (0)")</f>
        <v>0</v>
      </c>
      <c r="G32" s="37">
        <f>COUNTIF('PF176'!AA10:AA185,"SCB3_SEL1 (0)")</f>
        <v>0</v>
      </c>
      <c r="H32" s="37">
        <f>COUNTIF('PF176'!AA10:AA185,"SCB4_SEL1 (0)")</f>
        <v>0</v>
      </c>
      <c r="I32" s="36">
        <f>COUNTIF('PF176'!AA10:AA185,"SCB5_SEL1 (0)")</f>
        <v>0</v>
      </c>
      <c r="J32" s="36">
        <f>COUNTIF('PF176'!AA10:AA185,"SCB6_SEL1 (0)")</f>
        <v>0</v>
      </c>
      <c r="K32" s="37">
        <f>COUNTIF('PF176'!AA10:AA185,"SCB7_SEL1 (0)")</f>
        <v>0</v>
      </c>
      <c r="L32" s="37">
        <f>COUNTIF('PF176'!AA10:AA185,"SCB8_SEL1 (0)")</f>
        <v>0</v>
      </c>
      <c r="M32" s="37">
        <f>COUNTIF('PF176'!AA10:AA185,"SCB9_SEL1 (0)")</f>
        <v>0</v>
      </c>
      <c r="N32" s="37">
        <f>COUNTIF('PF176'!AA10:AA185,"SCB10_SEL1 (0)")</f>
        <v>0</v>
      </c>
      <c r="O32" s="37">
        <f>COUNTIF('PF176'!AA10:AA185,"SCB11_SEL1 (0)")</f>
        <v>0</v>
      </c>
    </row>
    <row r="33" spans="2:15" ht="10" customHeight="1" x14ac:dyDescent="0.55000000000000004">
      <c r="B33" s="144"/>
      <c r="C33" s="35" t="s">
        <v>620</v>
      </c>
      <c r="D33" s="36">
        <f>COUNTIF('PF176'!AA10:AA185,"SCB0_SEL1 (1)")</f>
        <v>0</v>
      </c>
      <c r="E33" s="37">
        <f>COUNTIF('PF176'!AA10:AA185,"SCB1_SEL1 (1)")</f>
        <v>0</v>
      </c>
      <c r="F33" s="37">
        <f>COUNTIF('PF176'!AA10:AA185,"SCB2_SEL1 (1)")</f>
        <v>0</v>
      </c>
      <c r="G33" s="37">
        <f>COUNTIF('PF176'!AA10:AA185,"SCB3_SEL1 (1)")</f>
        <v>0</v>
      </c>
      <c r="H33" s="37">
        <f>COUNTIF('PF176'!AA10:AA185,"SCB4_SEL1 (1)")</f>
        <v>0</v>
      </c>
      <c r="I33" s="36">
        <f>COUNTIF('PF176'!AA10:AA185,"SCB5_SEL1 (1)")</f>
        <v>0</v>
      </c>
      <c r="J33" s="36">
        <f>COUNTIF('PF176'!AA10:AA185,"SCB6_SEL1 (1)")</f>
        <v>0</v>
      </c>
      <c r="K33" s="37">
        <f>COUNTIF('PF176'!AA10:AA185,"SCB7_SEL1 (1)")</f>
        <v>0</v>
      </c>
      <c r="L33" s="37">
        <f>COUNTIF('PF176'!AA10:AA185,"SCB8_SEL1 (1)")</f>
        <v>0</v>
      </c>
      <c r="M33" s="37">
        <f>COUNTIF('PF176'!AA10:AA185,"SCB9_SEL1 (1)")</f>
        <v>0</v>
      </c>
      <c r="N33" s="37">
        <f>COUNTIF('PF176'!AA10:AA185,"SCB10_SEL1 (1)")</f>
        <v>0</v>
      </c>
      <c r="O33" s="37">
        <f>COUNTIF('PF176'!AA10:AA185,"SCB11_SEL1 (1)")</f>
        <v>0</v>
      </c>
    </row>
    <row r="34" spans="2:15" ht="10" customHeight="1" x14ac:dyDescent="0.55000000000000004">
      <c r="B34" s="144"/>
      <c r="C34" s="35" t="s">
        <v>621</v>
      </c>
      <c r="D34" s="36">
        <f>COUNTIF('PF176'!AA10:AA185,"SCB0_SEL2 (0)")</f>
        <v>0</v>
      </c>
      <c r="E34" s="37">
        <f>COUNTIF('PF176'!AA10:AA185,"SCB1_SEL2 (0)")</f>
        <v>0</v>
      </c>
      <c r="F34" s="37">
        <f>COUNTIF('PF176'!AA10:AA185,"SCB2_SEL2 (0)")</f>
        <v>0</v>
      </c>
      <c r="G34" s="37">
        <f>COUNTIF('PF176'!AA10:AA185,"SCB3_SEL2 (0)")</f>
        <v>0</v>
      </c>
      <c r="H34" s="37">
        <f>COUNTIF('PF176'!AA10:AA185,"SCB4_SEL2 (0)")</f>
        <v>0</v>
      </c>
      <c r="I34" s="36">
        <f>COUNTIF('PF176'!AA10:AA185,"SCB5_SEL2 (0)")</f>
        <v>0</v>
      </c>
      <c r="J34" s="36">
        <f>COUNTIF('PF176'!AA10:AA185,"SCB6_SEL2 (0)")</f>
        <v>0</v>
      </c>
      <c r="K34" s="37">
        <f>COUNTIF('PF176'!AA10:AA185,"SCB7_SEL2 (0)")</f>
        <v>0</v>
      </c>
      <c r="L34" s="37">
        <f>COUNTIF('PF176'!AA10:AA185,"SCB8_SEL2 (0)")</f>
        <v>0</v>
      </c>
      <c r="M34" s="37">
        <f>COUNTIF('PF176'!AA10:AA185,"SCB9_SEL2 (0)")</f>
        <v>0</v>
      </c>
      <c r="N34" s="37">
        <f>COUNTIF('PF176'!AA10:AA185,"SCB10_SEL2 (0)")</f>
        <v>0</v>
      </c>
      <c r="O34" s="37">
        <f>COUNTIF('PF176'!AA10:AA185,"SCB11_SEL2 (0)")</f>
        <v>0</v>
      </c>
    </row>
    <row r="35" spans="2:15" ht="10" customHeight="1" x14ac:dyDescent="0.55000000000000004">
      <c r="B35" s="144"/>
      <c r="C35" s="35" t="s">
        <v>622</v>
      </c>
      <c r="D35" s="36">
        <f>COUNTIF('PF176'!AA10:AA185,"SCB0_SEL2 (1)")</f>
        <v>0</v>
      </c>
      <c r="E35" s="37">
        <f>COUNTIF('PF176'!AA10:AA185,"SCB1_SEL2 (1)")</f>
        <v>0</v>
      </c>
      <c r="F35" s="37">
        <f>COUNTIF('PF176'!AA10:AA185,"SCB2_SEL2 (1)")</f>
        <v>0</v>
      </c>
      <c r="G35" s="37">
        <f>COUNTIF('PF176'!AA10:AA185,"SCB3_SEL2 (1)")</f>
        <v>0</v>
      </c>
      <c r="H35" s="37">
        <f>COUNTIF('PF176'!AA10:AA185,"SCB4_SEL2 (1)")</f>
        <v>0</v>
      </c>
      <c r="I35" s="36">
        <f>COUNTIF('PF176'!AA10:AA185,"SCB5_SEL2 (1)")</f>
        <v>0</v>
      </c>
      <c r="J35" s="36">
        <f>COUNTIF('PF176'!AA10:AA185,"SCB6_SEL2 (1)")</f>
        <v>0</v>
      </c>
      <c r="K35" s="37">
        <f>COUNTIF('PF176'!AA10:AA185,"SCB7_SEL2 (1)")</f>
        <v>0</v>
      </c>
      <c r="L35" s="37">
        <f>COUNTIF('PF176'!AA10:AA185,"SCB8_SEL2 (1)")</f>
        <v>0</v>
      </c>
      <c r="M35" s="37">
        <f>COUNTIF('PF176'!AA10:AA185,"SCB9_SEL2 (1)")</f>
        <v>0</v>
      </c>
      <c r="N35" s="37">
        <f>COUNTIF('PF176'!AA10:AA185,"SCB10_SEL2 (1)")</f>
        <v>0</v>
      </c>
      <c r="O35" s="37">
        <f>COUNTIF('PF176'!AA10:AA185,"SCB11_SEL2 (1)")</f>
        <v>0</v>
      </c>
    </row>
    <row r="36" spans="2:15" ht="10" customHeight="1" x14ac:dyDescent="0.55000000000000004">
      <c r="B36" s="144"/>
      <c r="C36" s="35" t="s">
        <v>623</v>
      </c>
      <c r="D36" s="36">
        <f>COUNTIF('PF176'!AA10:AA185,"SCB0_SEL3 (0)")</f>
        <v>0</v>
      </c>
      <c r="E36" s="37">
        <f>COUNTIF('PF176'!AA10:AA185,"SCB1_SEL3 (0)")</f>
        <v>0</v>
      </c>
      <c r="F36" s="37">
        <f>COUNTIF('PF176'!AA10:AA185,"SCB2_SEL3 (0)")</f>
        <v>0</v>
      </c>
      <c r="G36" s="37">
        <f>COUNTIF('PF176'!AA10:AA185,"SCB3_SEL3 (0)")</f>
        <v>0</v>
      </c>
      <c r="H36" s="37">
        <f>COUNTIF('PF176'!AA10:AA185,"SCB4_SEL3 (0)")</f>
        <v>0</v>
      </c>
      <c r="I36" s="36">
        <f>COUNTIF('PF176'!AA10:AA185,"SCB5_SEL3 (0)")</f>
        <v>0</v>
      </c>
      <c r="J36" s="36">
        <f>COUNTIF('PF176'!AA10:AA185,"SCB6_SEL3 (0)")</f>
        <v>0</v>
      </c>
      <c r="K36" s="37">
        <f>COUNTIF('PF176'!AA10:AA185,"SCB7_SEL3 (0)")</f>
        <v>0</v>
      </c>
      <c r="L36" s="37">
        <f>COUNTIF('PF176'!AA10:AA185,"SCB8_SEL3 (0)")</f>
        <v>0</v>
      </c>
      <c r="M36" s="37">
        <f>COUNTIF('PF176'!AA10:AA185,"SCB9_SEL3 (0)")</f>
        <v>0</v>
      </c>
      <c r="N36" s="37">
        <f>COUNTIF('PF176'!AA10:AA185,"SCB10_SEL3 (0)")</f>
        <v>0</v>
      </c>
      <c r="O36" s="37">
        <f>COUNTIF('PF176'!AA10:AA185,"SCB11_SEL3 (0)")</f>
        <v>0</v>
      </c>
    </row>
    <row r="37" spans="2:15" ht="10" customHeight="1" x14ac:dyDescent="0.55000000000000004">
      <c r="B37" s="145"/>
      <c r="C37" s="35" t="s">
        <v>624</v>
      </c>
      <c r="D37" s="36">
        <f>COUNTIF('PF176'!AA10:AA185,"SCB0_SEL3 (1)")</f>
        <v>0</v>
      </c>
      <c r="E37" s="37">
        <f>COUNTIF('PF176'!AA10:AA185,"SCB1_SEL3 (1)")</f>
        <v>0</v>
      </c>
      <c r="F37" s="37">
        <f>COUNTIF('PF176'!AA10:AA185,"SCB2_SEL3 (1)")</f>
        <v>0</v>
      </c>
      <c r="G37" s="37">
        <f>COUNTIF('PF176'!AA10:AA185,"SCB3_SEL3 (1)")</f>
        <v>0</v>
      </c>
      <c r="H37" s="37">
        <f>COUNTIF('PF176'!AA10:AA185,"SCB4_SEL3 (1)")</f>
        <v>0</v>
      </c>
      <c r="I37" s="36">
        <f>COUNTIF('PF176'!AA10:AA185,"SCB5_SEL3 (1)")</f>
        <v>0</v>
      </c>
      <c r="J37" s="36">
        <f>COUNTIF('PF176'!AA10:AA185,"SCB6_SEL3 (1)")</f>
        <v>0</v>
      </c>
      <c r="K37" s="37">
        <f>COUNTIF('PF176'!AA10:AA185,"SCB7_SEL3 (1)")</f>
        <v>0</v>
      </c>
      <c r="L37" s="37">
        <f>COUNTIF('PF176'!AA10:AA185,"SCB8_SEL3 (1)")</f>
        <v>0</v>
      </c>
      <c r="M37" s="37">
        <f>COUNTIF('PF176'!AA10:AA185,"SCB9_SEL3 (1)")</f>
        <v>0</v>
      </c>
      <c r="N37" s="37">
        <f>COUNTIF('PF176'!AA10:AA185,"SCB10_SEL3 (1)")</f>
        <v>0</v>
      </c>
      <c r="O37" s="37">
        <f>COUNTIF('PF176'!AA10:AA185,"SCB11_SEL3 (1)")</f>
        <v>0</v>
      </c>
    </row>
    <row r="38" spans="2:15" ht="10" customHeight="1" x14ac:dyDescent="0.55000000000000004">
      <c r="B38" s="136" t="s">
        <v>283</v>
      </c>
      <c r="C38" s="35" t="s">
        <v>603</v>
      </c>
      <c r="D38" s="36">
        <f>COUNTIF('PF176'!AA10:AA185,"SCB0_TX (0)")</f>
        <v>0</v>
      </c>
      <c r="E38" s="37">
        <f>COUNTIF('PF176'!AA10:AA185,"SCB1_TX (0)")</f>
        <v>0</v>
      </c>
      <c r="F38" s="37">
        <f>COUNTIF('PF176'!AA10:AA185,"SCB2_TX (0)")</f>
        <v>0</v>
      </c>
      <c r="G38" s="37">
        <f>COUNTIF('PF176'!AA10:AA185,"SCB3_TX (0)")</f>
        <v>0</v>
      </c>
      <c r="H38" s="37">
        <f>COUNTIF('PF176'!AA10:AA185,"SCB4_TX (0)")</f>
        <v>0</v>
      </c>
      <c r="I38" s="37">
        <f>COUNTIF('PF176'!AA10:AA185,"SCB5_TX (0)")</f>
        <v>0</v>
      </c>
      <c r="J38" s="37">
        <f>COUNTIF('PF176'!AA10:AA185,"SCB6_TX (0)")</f>
        <v>0</v>
      </c>
      <c r="K38" s="37">
        <f>COUNTIF('PF176'!AA10:AA185,"SCB7_TX (0)")</f>
        <v>0</v>
      </c>
      <c r="L38" s="37">
        <f>COUNTIF('PF176'!AA10:AA185,"SCB8_TX (0)")</f>
        <v>0</v>
      </c>
      <c r="M38" s="37">
        <f>COUNTIF('PF176'!AA10:AA185,"SCB9_TX (0)")</f>
        <v>0</v>
      </c>
      <c r="N38" s="37">
        <f>COUNTIF('PF176'!AA10:AA185,"SCB10_TX (0)")</f>
        <v>0</v>
      </c>
      <c r="O38" s="37">
        <f>COUNTIF('PF176'!AA10:AA185,"SCB11_TX (0)")</f>
        <v>0</v>
      </c>
    </row>
    <row r="39" spans="2:15" ht="10" customHeight="1" x14ac:dyDescent="0.55000000000000004">
      <c r="B39" s="144"/>
      <c r="C39" s="35" t="s">
        <v>1067</v>
      </c>
      <c r="D39" s="36">
        <f>COUNTIF('PF176'!AA10:AA185,"SCB0_TX (1)")</f>
        <v>0</v>
      </c>
      <c r="E39" s="37">
        <f>COUNTIF('PF176'!AA10:AA185,"SCB1_TX (1)")</f>
        <v>0</v>
      </c>
      <c r="F39" s="37">
        <f>COUNTIF('PF176'!AA10:AA185,"SCB2_TX (1)")</f>
        <v>0</v>
      </c>
      <c r="G39" s="37">
        <f>COUNTIF('PF176'!AA10:AA185,"SCB3_TX (1)")</f>
        <v>0</v>
      </c>
      <c r="H39" s="37">
        <f>COUNTIF('PF176'!AA10:AA185,"SCB4_TX (1)")</f>
        <v>0</v>
      </c>
      <c r="I39" s="37">
        <f>COUNTIF('PF176'!AA10:AA185,"SCB5_TX (1)")</f>
        <v>0</v>
      </c>
      <c r="J39" s="37">
        <f>COUNTIF('PF176'!AA10:AA185,"SCB6_TX (1)")</f>
        <v>0</v>
      </c>
      <c r="K39" s="37">
        <f>COUNTIF('PF176'!AA10:AA185,"SCB7_TX (1)")</f>
        <v>0</v>
      </c>
      <c r="L39" s="37">
        <f>COUNTIF('PF176'!AA10:AA185,"SCB8_TX (1)")</f>
        <v>0</v>
      </c>
      <c r="M39" s="37">
        <f>COUNTIF('PF176'!AA10:AA185,"SCB9_TX (1)")</f>
        <v>0</v>
      </c>
      <c r="N39" s="37">
        <f>COUNTIF('PF176'!AA10:AA185,"SCB10_TX (1)")</f>
        <v>0</v>
      </c>
      <c r="O39" s="37">
        <f>COUNTIF('PF176'!AA10:AA185,"SCB11_TX (1)")</f>
        <v>0</v>
      </c>
    </row>
    <row r="40" spans="2:15" ht="10" customHeight="1" x14ac:dyDescent="0.55000000000000004">
      <c r="B40" s="144"/>
      <c r="C40" s="35" t="s">
        <v>605</v>
      </c>
      <c r="D40" s="36">
        <f>COUNTIF('PF176'!AA10:AA185,"SCB0_RX (0)")</f>
        <v>0</v>
      </c>
      <c r="E40" s="37">
        <f>COUNTIF('PF176'!AA10:AA185,"SCB1_RX (0)")</f>
        <v>0</v>
      </c>
      <c r="F40" s="37">
        <f>COUNTIF('PF176'!AA10:AA185,"SCB2_RX (0)")</f>
        <v>0</v>
      </c>
      <c r="G40" s="37">
        <f>COUNTIF('PF176'!AA10:AA185,"SCB3_RX (0)")</f>
        <v>0</v>
      </c>
      <c r="H40" s="37">
        <f>COUNTIF('PF176'!AA10:AA185,"SCB4_RX (0)")</f>
        <v>0</v>
      </c>
      <c r="I40" s="37">
        <f>COUNTIF('PF176'!AA10:AA185,"SCB5_RX (0)")</f>
        <v>0</v>
      </c>
      <c r="J40" s="37">
        <f>COUNTIF('PF176'!AA10:AA185,"SCB6_RX (0)")</f>
        <v>0</v>
      </c>
      <c r="K40" s="37">
        <f>COUNTIF('PF176'!AA10:AA185,"SCB7_RX (0)")</f>
        <v>0</v>
      </c>
      <c r="L40" s="37">
        <f>COUNTIF('PF176'!AA10:AA185,"SCB8_RX (0)")</f>
        <v>0</v>
      </c>
      <c r="M40" s="37">
        <f>COUNTIF('PF176'!AA10:AA185,"SCB9_RX (0)")</f>
        <v>0</v>
      </c>
      <c r="N40" s="37">
        <f>COUNTIF('PF176'!AA10:AA185,"SCB10_RX (0)")</f>
        <v>0</v>
      </c>
      <c r="O40" s="37">
        <f>COUNTIF('PF176'!AA10:AA185,"SCB11_RX (0)")</f>
        <v>0</v>
      </c>
    </row>
    <row r="41" spans="2:15" ht="10" customHeight="1" x14ac:dyDescent="0.55000000000000004">
      <c r="B41" s="144"/>
      <c r="C41" s="35" t="s">
        <v>1068</v>
      </c>
      <c r="D41" s="36">
        <f>COUNTIF('PF176'!AA10:AA185,"SCB0_RX (1)")</f>
        <v>0</v>
      </c>
      <c r="E41" s="37">
        <f>COUNTIF('PF176'!AA10:AA185,"SCB1_RX (1)")</f>
        <v>0</v>
      </c>
      <c r="F41" s="37">
        <f>COUNTIF('PF176'!AA10:AA185,"SCB2_RX (1)")</f>
        <v>0</v>
      </c>
      <c r="G41" s="37">
        <f>COUNTIF('PF176'!AA10:AA185,"SCB3_RX (1)")</f>
        <v>0</v>
      </c>
      <c r="H41" s="37">
        <f>COUNTIF('PF176'!AA10:AA185,"SCB4_RX (1)")</f>
        <v>0</v>
      </c>
      <c r="I41" s="37">
        <f>COUNTIF('PF176'!AA10:AA185,"SCB5_RX (1)")</f>
        <v>0</v>
      </c>
      <c r="J41" s="37">
        <f>COUNTIF('PF176'!AA10:AA185,"SCB6_RX (1)")</f>
        <v>0</v>
      </c>
      <c r="K41" s="37">
        <f>COUNTIF('PF176'!AA10:AA185,"SCB7_RX (1)")</f>
        <v>0</v>
      </c>
      <c r="L41" s="37">
        <f>COUNTIF('PF176'!AA10:AA185,"SCB8_RX (1)")</f>
        <v>0</v>
      </c>
      <c r="M41" s="37">
        <f>COUNTIF('PF176'!AA10:AA185,"SCB9_RX (1)")</f>
        <v>0</v>
      </c>
      <c r="N41" s="37">
        <f>COUNTIF('PF176'!AA10:AA185,"SCB10_RX (1)")</f>
        <v>0</v>
      </c>
      <c r="O41" s="37">
        <f>COUNTIF('PF176'!AA10:AA185,"SCB11_RX (1)")</f>
        <v>0</v>
      </c>
    </row>
    <row r="42" spans="2:15" ht="10" customHeight="1" x14ac:dyDescent="0.55000000000000004">
      <c r="B42" s="144"/>
      <c r="C42" s="35" t="s">
        <v>607</v>
      </c>
      <c r="D42" s="36">
        <f>COUNTIF('PF176'!AA10:AA185,"SCB0_CTS (0)")</f>
        <v>0</v>
      </c>
      <c r="E42" s="37">
        <f>COUNTIF('PF176'!AA10:AA185,"SCB1_CTS (0)")</f>
        <v>0</v>
      </c>
      <c r="F42" s="37">
        <f>COUNTIF('PF176'!AA10:AA185,"SCB2_CTS (0)")</f>
        <v>0</v>
      </c>
      <c r="G42" s="37">
        <f>COUNTIF('PF176'!AA10:AA185,"SCB3_CTS (0)")</f>
        <v>0</v>
      </c>
      <c r="H42" s="37">
        <f>COUNTIF('PF176'!AA10:AA185,"SCB4_CTS (0)")</f>
        <v>0</v>
      </c>
      <c r="I42" s="37">
        <f>COUNTIF('PF176'!AA10:AA185,"SCB5_CTS (0)")</f>
        <v>0</v>
      </c>
      <c r="J42" s="37">
        <f>COUNTIF('PF176'!AA10:AA185,"SCB6_CTS (0)")</f>
        <v>0</v>
      </c>
      <c r="K42" s="37">
        <f>COUNTIF('PF176'!AA10:AA185,"SCB7_CTS (0)")</f>
        <v>0</v>
      </c>
      <c r="L42" s="37">
        <f>COUNTIF('PF176'!AA10:AA185,"SCB8_CTS (0)")</f>
        <v>0</v>
      </c>
      <c r="M42" s="37">
        <f>COUNTIF('PF176'!AA10:AA185,"SCB9_CTS (0)")</f>
        <v>0</v>
      </c>
      <c r="N42" s="37">
        <f>COUNTIF('PF176'!AA10:AA185,"SCB10_CTS (0)")</f>
        <v>0</v>
      </c>
      <c r="O42" s="37">
        <f>COUNTIF('PF176'!AA10:AA185,"SCB11_CTS (0)")</f>
        <v>0</v>
      </c>
    </row>
    <row r="43" spans="2:15" ht="10" customHeight="1" x14ac:dyDescent="0.55000000000000004">
      <c r="B43" s="144"/>
      <c r="C43" s="35" t="s">
        <v>1069</v>
      </c>
      <c r="D43" s="36">
        <f>COUNTIF('PF176'!AA10:AA185,"SCB0_CTS (1)")</f>
        <v>0</v>
      </c>
      <c r="E43" s="37">
        <f>COUNTIF('PF176'!AA10:AA185,"SCB1_CTS (1)")</f>
        <v>0</v>
      </c>
      <c r="F43" s="37">
        <f>COUNTIF('PF176'!AA10:AA185,"SCB2_CTS (1)")</f>
        <v>0</v>
      </c>
      <c r="G43" s="37">
        <f>COUNTIF('PF176'!AA10:AA185,"SCB3_CTS (1)")</f>
        <v>0</v>
      </c>
      <c r="H43" s="37">
        <f>COUNTIF('PF176'!AA10:AA185,"SCB4_CTS (1)")</f>
        <v>0</v>
      </c>
      <c r="I43" s="37">
        <f>COUNTIF('PF176'!AA10:AA185,"SCB5_CTS (1)")</f>
        <v>0</v>
      </c>
      <c r="J43" s="37">
        <f>COUNTIF('PF176'!AA10:AA185,"SCB6_CTS (1)")</f>
        <v>0</v>
      </c>
      <c r="K43" s="37">
        <f>COUNTIF('PF176'!AA10:AA185,"SCB7_CTS (1)")</f>
        <v>0</v>
      </c>
      <c r="L43" s="37">
        <f>COUNTIF('PF176'!AA10:AA185,"SCB8_CTS (1)")</f>
        <v>0</v>
      </c>
      <c r="M43" s="37">
        <f>COUNTIF('PF176'!AA10:AA185,"SCB9_CTS (1)")</f>
        <v>0</v>
      </c>
      <c r="N43" s="37">
        <f>COUNTIF('PF176'!AA10:AA185,"SCB10_CTS (1)")</f>
        <v>0</v>
      </c>
      <c r="O43" s="37">
        <f>COUNTIF('PF176'!AA10:AA185,"SCB11_CTS (1)")</f>
        <v>0</v>
      </c>
    </row>
    <row r="44" spans="2:15" ht="10" customHeight="1" x14ac:dyDescent="0.55000000000000004">
      <c r="B44" s="144"/>
      <c r="C44" s="35" t="s">
        <v>609</v>
      </c>
      <c r="D44" s="36">
        <f>COUNTIF('PF176'!AA10:AA185,"SCB0_RTS (0)")</f>
        <v>0</v>
      </c>
      <c r="E44" s="37">
        <f>COUNTIF('PF176'!AA10:AA185,"SCB1_RTS (0)")</f>
        <v>0</v>
      </c>
      <c r="F44" s="37">
        <f>COUNTIF('PF176'!AA10:AA185,"SCB2_RTS (0)")</f>
        <v>0</v>
      </c>
      <c r="G44" s="37">
        <f>COUNTIF('PF176'!AA10:AA185,"SCB3_RTS (0)")</f>
        <v>0</v>
      </c>
      <c r="H44" s="37">
        <f>COUNTIF('PF176'!AA10:AA185,"SCB4_RTS (0)")</f>
        <v>0</v>
      </c>
      <c r="I44" s="37">
        <f>COUNTIF('PF176'!AA10:AA185,"SCB5_RTS (0)")</f>
        <v>0</v>
      </c>
      <c r="J44" s="37">
        <f>COUNTIF('PF176'!AA10:AA185,"SCB6_RTS (0)")</f>
        <v>0</v>
      </c>
      <c r="K44" s="37">
        <f>COUNTIF('PF176'!AA10:AA185,"SCB7_RTS (0)")</f>
        <v>0</v>
      </c>
      <c r="L44" s="37">
        <f>COUNTIF('PF176'!AA10:AA185,"SCB8_RTS (0)")</f>
        <v>0</v>
      </c>
      <c r="M44" s="37">
        <f>COUNTIF('PF176'!AA10:AA185,"SCB9_RTS (0)")</f>
        <v>0</v>
      </c>
      <c r="N44" s="37">
        <f>COUNTIF('PF176'!AA10:AA185,"SCB10_RTS (0)")</f>
        <v>0</v>
      </c>
      <c r="O44" s="37">
        <f>COUNTIF('PF176'!AA10:AA185,"SCB11_RTS (0)")</f>
        <v>0</v>
      </c>
    </row>
    <row r="45" spans="2:15" ht="10" customHeight="1" x14ac:dyDescent="0.55000000000000004">
      <c r="B45" s="145"/>
      <c r="C45" s="35" t="s">
        <v>1070</v>
      </c>
      <c r="D45" s="36">
        <f>COUNTIF('PF176'!AA10:AA185,"SCB0_RTS (1)")</f>
        <v>0</v>
      </c>
      <c r="E45" s="37">
        <f>COUNTIF('PF176'!AA10:AA185,"SCB1_RTS (1)")</f>
        <v>0</v>
      </c>
      <c r="F45" s="37">
        <f>COUNTIF('PF176'!AA10:AA185,"SCB2_RTS (1)")</f>
        <v>0</v>
      </c>
      <c r="G45" s="37">
        <f>COUNTIF('PF176'!AA10:AA185,"SCB3_RTS (1)")</f>
        <v>0</v>
      </c>
      <c r="H45" s="37">
        <f>COUNTIF('PF176'!AA10:AA185,"SCB4_RTS (1)")</f>
        <v>0</v>
      </c>
      <c r="I45" s="37">
        <f>COUNTIF('PF176'!AA10:AA185,"SCB5_RTS (1)")</f>
        <v>0</v>
      </c>
      <c r="J45" s="37">
        <f>COUNTIF('PF176'!AA10:AA185,"SCB6_RTS (1)")</f>
        <v>0</v>
      </c>
      <c r="K45" s="37">
        <f>COUNTIF('PF176'!AA10:AA185,"SCB7_RTS (1)")</f>
        <v>0</v>
      </c>
      <c r="L45" s="37">
        <f>COUNTIF('PF176'!AA10:AA185,"SCB8_RTS (1)")</f>
        <v>0</v>
      </c>
      <c r="M45" s="37">
        <f>COUNTIF('PF176'!AA10:AA185,"SCB9_RTS (1)")</f>
        <v>0</v>
      </c>
      <c r="N45" s="37">
        <f>COUNTIF('PF176'!AA10:AA185,"SCB10_RTS (1)")</f>
        <v>0</v>
      </c>
      <c r="O45" s="37">
        <f>COUNTIF('PF176'!AA10:AA185,"SCB11_RTS (1)")</f>
        <v>0</v>
      </c>
    </row>
    <row r="46" spans="2:15" ht="10" customHeight="1" x14ac:dyDescent="0.55000000000000004">
      <c r="B46" s="136" t="s">
        <v>285</v>
      </c>
      <c r="C46" s="39" t="s">
        <v>625</v>
      </c>
      <c r="D46" s="36">
        <f>COUNTIF('PF176'!AA10:AA185,"SCB0_SDA (0)")</f>
        <v>0</v>
      </c>
      <c r="E46" s="37">
        <f>COUNTIF('PF176'!AA10:AA185,"SCB1_SDA (0)")</f>
        <v>0</v>
      </c>
      <c r="F46" s="37">
        <f>COUNTIF('PF176'!AA10:AA185,"SCB2_SDA (0)")</f>
        <v>0</v>
      </c>
      <c r="G46" s="37">
        <f>COUNTIF('PF176'!AA10:AA185,"SCB3_SDA (0)")</f>
        <v>0</v>
      </c>
      <c r="H46" s="37">
        <f>COUNTIF('PF176'!AA10:AA185,"SCB4_SDA (0)")</f>
        <v>0</v>
      </c>
      <c r="I46" s="37">
        <f>COUNTIF('PF176'!AA10:AA185,"SCB5_SDA (0)")</f>
        <v>0</v>
      </c>
      <c r="J46" s="37">
        <f>COUNTIF('PF176'!AA10:AA185,"SCB6_SDA (0)")</f>
        <v>0</v>
      </c>
      <c r="K46" s="37">
        <f>COUNTIF('PF176'!AA10:AA185,"SCB7_SDA (0)")</f>
        <v>0</v>
      </c>
      <c r="L46" s="37">
        <f>COUNTIF('PF176'!AA10:AA185,"SCB8_SDA (0)")</f>
        <v>0</v>
      </c>
      <c r="M46" s="37">
        <f>COUNTIF('PF176'!AA10:AA185,"SCB9_SDA (0)")</f>
        <v>0</v>
      </c>
      <c r="N46" s="37">
        <f>COUNTIF('PF176'!AA10:AA185,"SCB10_SDA (0)")</f>
        <v>0</v>
      </c>
      <c r="O46" s="37">
        <f>COUNTIF('PF176'!AA10:AA185,"SCB11_SDA (0)")</f>
        <v>0</v>
      </c>
    </row>
    <row r="47" spans="2:15" ht="10" customHeight="1" x14ac:dyDescent="0.55000000000000004">
      <c r="B47" s="144"/>
      <c r="C47" s="39" t="s">
        <v>626</v>
      </c>
      <c r="D47" s="36">
        <f>COUNTIF('PF176'!AA10:AA185,"SCB0_SDA (1)")</f>
        <v>0</v>
      </c>
      <c r="E47" s="37">
        <f>COUNTIF('PF176'!AA10:AA185,"SCB1_SDA (1)")</f>
        <v>0</v>
      </c>
      <c r="F47" s="37">
        <f>COUNTIF('PF176'!AA10:AA185,"SCB2_SDA (1)")</f>
        <v>0</v>
      </c>
      <c r="G47" s="37">
        <f>COUNTIF('PF176'!AA10:AA185,"SCB3_SDA (1)")</f>
        <v>0</v>
      </c>
      <c r="H47" s="37">
        <f>COUNTIF('PF176'!AA10:AA185,"SCB4_SDA (1)")</f>
        <v>0</v>
      </c>
      <c r="I47" s="37">
        <f>COUNTIF('PF176'!AA10:AA185,"SCB5_SDA (1)")</f>
        <v>0</v>
      </c>
      <c r="J47" s="37">
        <f>COUNTIF('PF176'!AA10:AA185,"SCB6_SDA (1)")</f>
        <v>0</v>
      </c>
      <c r="K47" s="37">
        <f>COUNTIF('PF176'!AA10:AA185,"SCB7_SDA (1)")</f>
        <v>0</v>
      </c>
      <c r="L47" s="37">
        <f>COUNTIF('PF176'!AA10:AA185,"SCB8_SDA (1)")</f>
        <v>0</v>
      </c>
      <c r="M47" s="37">
        <f>COUNTIF('PF176'!AA10:AA185,"SCB9_SDA (1)")</f>
        <v>0</v>
      </c>
      <c r="N47" s="37">
        <f>COUNTIF('PF176'!AA10:AA185,"SCB10_SDA (1)")</f>
        <v>0</v>
      </c>
      <c r="O47" s="37">
        <f>COUNTIF('PF176'!AA10:AA185,"SCB11_SDA (1)")</f>
        <v>0</v>
      </c>
    </row>
    <row r="48" spans="2:15" ht="10" customHeight="1" x14ac:dyDescent="0.55000000000000004">
      <c r="B48" s="144"/>
      <c r="C48" s="39" t="s">
        <v>627</v>
      </c>
      <c r="D48" s="36">
        <f>COUNTIF('PF176'!AA10:AA185,"SCB0_SCL (0)")</f>
        <v>0</v>
      </c>
      <c r="E48" s="37">
        <f>COUNTIF('PF176'!AA10:AA185,"SCB1_SCL (0)")</f>
        <v>0</v>
      </c>
      <c r="F48" s="37">
        <f>COUNTIF('PF176'!AA10:AA185,"SCB2_SCL (0)")</f>
        <v>0</v>
      </c>
      <c r="G48" s="37">
        <f>COUNTIF('PF176'!AA10:AA185,"SCB3_SCL (0)")</f>
        <v>0</v>
      </c>
      <c r="H48" s="37">
        <f>COUNTIF('PF176'!AA10:AA185,"SCB4_SCL (0)")</f>
        <v>0</v>
      </c>
      <c r="I48" s="37">
        <f>COUNTIF('PF176'!AA10:AA185,"SCB5_SCL (0)")</f>
        <v>0</v>
      </c>
      <c r="J48" s="37">
        <f>COUNTIF('PF176'!AA10:AA185,"SCB6_SCL (0)")</f>
        <v>0</v>
      </c>
      <c r="K48" s="37">
        <f>COUNTIF('PF176'!AA10:AA185,"SCB7_SCL (0)")</f>
        <v>0</v>
      </c>
      <c r="L48" s="37">
        <f>COUNTIF('PF176'!AA10:AA185,"SCB8_SCL (0)")</f>
        <v>0</v>
      </c>
      <c r="M48" s="37">
        <f>COUNTIF('PF176'!AA10:AA185,"SCB9_SCL (0)")</f>
        <v>0</v>
      </c>
      <c r="N48" s="37">
        <f>COUNTIF('PF176'!AA10:AA185,"SCB10_SCL (0)")</f>
        <v>0</v>
      </c>
      <c r="O48" s="37">
        <f>COUNTIF('PF176'!AA10:AA185,"SCB11_SCL (0)")</f>
        <v>0</v>
      </c>
    </row>
    <row r="49" spans="2:15" ht="10" customHeight="1" x14ac:dyDescent="0.55000000000000004">
      <c r="B49" s="145"/>
      <c r="C49" s="39" t="s">
        <v>628</v>
      </c>
      <c r="D49" s="36">
        <f>COUNTIF('PF176'!AA10:AA185,"SCB0_SCL (1)")</f>
        <v>0</v>
      </c>
      <c r="E49" s="37">
        <f>COUNTIF('PF176'!AA10:AA185,"SCB1_SCL (1)")</f>
        <v>0</v>
      </c>
      <c r="F49" s="37">
        <f>COUNTIF('PF176'!AA10:AA185,"SCB2_SCL (1)")</f>
        <v>0</v>
      </c>
      <c r="G49" s="37">
        <f>COUNTIF('PF176'!AA10:AA185,"SCB3_SCL (1)")</f>
        <v>0</v>
      </c>
      <c r="H49" s="37">
        <f>COUNTIF('PF176'!AA10:AA185,"SCB4_SCL (1)")</f>
        <v>0</v>
      </c>
      <c r="I49" s="37">
        <f>COUNTIF('PF176'!AA10:AA185,"SCB5_SCL (1)")</f>
        <v>0</v>
      </c>
      <c r="J49" s="37">
        <f>COUNTIF('PF176'!AA10:AA185,"SCB6_SCL (1)")</f>
        <v>0</v>
      </c>
      <c r="K49" s="37">
        <f>COUNTIF('PF176'!AA10:AA185,"SCB7_SCL (1)")</f>
        <v>0</v>
      </c>
      <c r="L49" s="37">
        <f>COUNTIF('PF176'!AA10:AA185,"SCB8_SCL (1)")</f>
        <v>0</v>
      </c>
      <c r="M49" s="37">
        <f>COUNTIF('PF176'!AA10:AA185,"SCB9_SCL (1)")</f>
        <v>0</v>
      </c>
      <c r="N49" s="37">
        <f>COUNTIF('PF176'!AA10:AA185,"SCB10_SCL (1)")</f>
        <v>0</v>
      </c>
      <c r="O49" s="37">
        <f>COUNTIF('PF176'!AA10:AA185,"SCB11_SCL (1)")</f>
        <v>0</v>
      </c>
    </row>
    <row r="50" spans="2:15" x14ac:dyDescent="0.55000000000000004">
      <c r="B50" s="40"/>
      <c r="C50" s="41"/>
      <c r="D50" s="4"/>
      <c r="E50" s="4"/>
      <c r="F50" s="4"/>
      <c r="G50" s="4"/>
      <c r="H50" s="4"/>
      <c r="I50" s="4"/>
      <c r="J50" s="4"/>
      <c r="K50" s="4"/>
    </row>
    <row r="51" spans="2:15" hidden="1" x14ac:dyDescent="0.55000000000000004">
      <c r="B51" s="42" t="s">
        <v>259</v>
      </c>
      <c r="C51" s="42" t="s">
        <v>636</v>
      </c>
      <c r="D51" s="43" t="s">
        <v>260</v>
      </c>
      <c r="E51" s="43" t="s">
        <v>261</v>
      </c>
      <c r="F51" s="43" t="s">
        <v>262</v>
      </c>
      <c r="G51" s="43" t="s">
        <v>263</v>
      </c>
      <c r="H51" s="43" t="s">
        <v>267</v>
      </c>
      <c r="I51" s="43" t="s">
        <v>266</v>
      </c>
      <c r="J51" s="43" t="s">
        <v>265</v>
      </c>
      <c r="K51" s="43" t="s">
        <v>264</v>
      </c>
      <c r="L51" s="43" t="s">
        <v>1063</v>
      </c>
      <c r="M51" s="43" t="s">
        <v>1064</v>
      </c>
      <c r="N51" s="43" t="s">
        <v>1065</v>
      </c>
      <c r="O51" s="43" t="s">
        <v>1066</v>
      </c>
    </row>
    <row r="52" spans="2:15" hidden="1" x14ac:dyDescent="0.55000000000000004">
      <c r="B52" s="130" t="s">
        <v>637</v>
      </c>
      <c r="C52" s="45">
        <v>0</v>
      </c>
      <c r="D52" s="45">
        <f t="shared" ref="D52:O52" si="0">D24+D26+D28+D30+D32+D34+D36</f>
        <v>0</v>
      </c>
      <c r="E52" s="45">
        <f t="shared" si="0"/>
        <v>0</v>
      </c>
      <c r="F52" s="45">
        <f t="shared" si="0"/>
        <v>0</v>
      </c>
      <c r="G52" s="45">
        <f t="shared" si="0"/>
        <v>0</v>
      </c>
      <c r="H52" s="45">
        <f t="shared" si="0"/>
        <v>0</v>
      </c>
      <c r="I52" s="45">
        <f t="shared" si="0"/>
        <v>0</v>
      </c>
      <c r="J52" s="45">
        <f t="shared" si="0"/>
        <v>0</v>
      </c>
      <c r="K52" s="45">
        <f t="shared" si="0"/>
        <v>0</v>
      </c>
      <c r="L52" s="45">
        <f t="shared" si="0"/>
        <v>0</v>
      </c>
      <c r="M52" s="45">
        <f t="shared" si="0"/>
        <v>0</v>
      </c>
      <c r="N52" s="45">
        <f t="shared" si="0"/>
        <v>0</v>
      </c>
      <c r="O52" s="45">
        <f t="shared" si="0"/>
        <v>0</v>
      </c>
    </row>
    <row r="53" spans="2:15" hidden="1" x14ac:dyDescent="0.55000000000000004">
      <c r="B53" s="130"/>
      <c r="C53" s="45">
        <v>1</v>
      </c>
      <c r="D53" s="45">
        <f>D25+D27+D29+D31+D33+D35+D37</f>
        <v>0</v>
      </c>
      <c r="E53" s="45">
        <f t="shared" ref="E53:O53" si="1">E25+E27+E29+E31+E33+E35+E37</f>
        <v>0</v>
      </c>
      <c r="F53" s="45">
        <f t="shared" si="1"/>
        <v>0</v>
      </c>
      <c r="G53" s="45">
        <f t="shared" si="1"/>
        <v>0</v>
      </c>
      <c r="H53" s="45">
        <f t="shared" si="1"/>
        <v>0</v>
      </c>
      <c r="I53" s="45">
        <f t="shared" si="1"/>
        <v>0</v>
      </c>
      <c r="J53" s="45">
        <f t="shared" si="1"/>
        <v>0</v>
      </c>
      <c r="K53" s="45">
        <f t="shared" si="1"/>
        <v>0</v>
      </c>
      <c r="L53" s="45">
        <f t="shared" si="1"/>
        <v>0</v>
      </c>
      <c r="M53" s="45">
        <f t="shared" si="1"/>
        <v>0</v>
      </c>
      <c r="N53" s="45">
        <f t="shared" si="1"/>
        <v>0</v>
      </c>
      <c r="O53" s="45">
        <f t="shared" si="1"/>
        <v>0</v>
      </c>
    </row>
    <row r="54" spans="2:15" hidden="1" x14ac:dyDescent="0.55000000000000004">
      <c r="B54" s="130" t="s">
        <v>638</v>
      </c>
      <c r="C54" s="45">
        <v>0</v>
      </c>
      <c r="D54" s="45">
        <f t="shared" ref="D54:O54" si="2">D38+D40+D42+D44</f>
        <v>0</v>
      </c>
      <c r="E54" s="45">
        <f t="shared" si="2"/>
        <v>0</v>
      </c>
      <c r="F54" s="45">
        <f t="shared" si="2"/>
        <v>0</v>
      </c>
      <c r="G54" s="45">
        <f t="shared" si="2"/>
        <v>0</v>
      </c>
      <c r="H54" s="45">
        <f t="shared" si="2"/>
        <v>0</v>
      </c>
      <c r="I54" s="45">
        <f t="shared" si="2"/>
        <v>0</v>
      </c>
      <c r="J54" s="45">
        <f t="shared" si="2"/>
        <v>0</v>
      </c>
      <c r="K54" s="45">
        <f t="shared" si="2"/>
        <v>0</v>
      </c>
      <c r="L54" s="45">
        <f t="shared" si="2"/>
        <v>0</v>
      </c>
      <c r="M54" s="45">
        <f t="shared" si="2"/>
        <v>0</v>
      </c>
      <c r="N54" s="45">
        <f t="shared" si="2"/>
        <v>0</v>
      </c>
      <c r="O54" s="45">
        <f t="shared" si="2"/>
        <v>0</v>
      </c>
    </row>
    <row r="55" spans="2:15" hidden="1" x14ac:dyDescent="0.55000000000000004">
      <c r="B55" s="130"/>
      <c r="C55" s="45">
        <v>1</v>
      </c>
      <c r="D55" s="45">
        <f t="shared" ref="D55:O55" si="3">D39+D41+D43+D45</f>
        <v>0</v>
      </c>
      <c r="E55" s="45">
        <f t="shared" si="3"/>
        <v>0</v>
      </c>
      <c r="F55" s="45">
        <f t="shared" si="3"/>
        <v>0</v>
      </c>
      <c r="G55" s="45">
        <f t="shared" si="3"/>
        <v>0</v>
      </c>
      <c r="H55" s="45">
        <f t="shared" si="3"/>
        <v>0</v>
      </c>
      <c r="I55" s="45">
        <f t="shared" si="3"/>
        <v>0</v>
      </c>
      <c r="J55" s="45">
        <f t="shared" si="3"/>
        <v>0</v>
      </c>
      <c r="K55" s="45">
        <f t="shared" si="3"/>
        <v>0</v>
      </c>
      <c r="L55" s="45">
        <f t="shared" si="3"/>
        <v>0</v>
      </c>
      <c r="M55" s="45">
        <f t="shared" si="3"/>
        <v>0</v>
      </c>
      <c r="N55" s="45">
        <f t="shared" si="3"/>
        <v>0</v>
      </c>
      <c r="O55" s="45">
        <f t="shared" si="3"/>
        <v>0</v>
      </c>
    </row>
    <row r="56" spans="2:15" hidden="1" x14ac:dyDescent="0.55000000000000004">
      <c r="B56" s="130" t="s">
        <v>639</v>
      </c>
      <c r="C56" s="45">
        <v>0</v>
      </c>
      <c r="D56" s="45">
        <f t="shared" ref="D56:O56" si="4">D46+D48</f>
        <v>0</v>
      </c>
      <c r="E56" s="45">
        <f t="shared" si="4"/>
        <v>0</v>
      </c>
      <c r="F56" s="45">
        <f t="shared" si="4"/>
        <v>0</v>
      </c>
      <c r="G56" s="45">
        <f t="shared" si="4"/>
        <v>0</v>
      </c>
      <c r="H56" s="45">
        <f t="shared" si="4"/>
        <v>0</v>
      </c>
      <c r="I56" s="45">
        <f t="shared" si="4"/>
        <v>0</v>
      </c>
      <c r="J56" s="45">
        <f t="shared" si="4"/>
        <v>0</v>
      </c>
      <c r="K56" s="45">
        <f t="shared" si="4"/>
        <v>0</v>
      </c>
      <c r="L56" s="45">
        <f t="shared" si="4"/>
        <v>0</v>
      </c>
      <c r="M56" s="45">
        <f t="shared" si="4"/>
        <v>0</v>
      </c>
      <c r="N56" s="45">
        <f t="shared" si="4"/>
        <v>0</v>
      </c>
      <c r="O56" s="45">
        <f t="shared" si="4"/>
        <v>0</v>
      </c>
    </row>
    <row r="57" spans="2:15" hidden="1" x14ac:dyDescent="0.55000000000000004">
      <c r="B57" s="130"/>
      <c r="C57" s="45">
        <v>1</v>
      </c>
      <c r="D57" s="45">
        <f t="shared" ref="D57:O57" si="5">D47+D49</f>
        <v>0</v>
      </c>
      <c r="E57" s="45">
        <f t="shared" si="5"/>
        <v>0</v>
      </c>
      <c r="F57" s="45">
        <f t="shared" si="5"/>
        <v>0</v>
      </c>
      <c r="G57" s="45">
        <f t="shared" si="5"/>
        <v>0</v>
      </c>
      <c r="H57" s="45">
        <f t="shared" si="5"/>
        <v>0</v>
      </c>
      <c r="I57" s="45">
        <f t="shared" si="5"/>
        <v>0</v>
      </c>
      <c r="J57" s="45">
        <f t="shared" si="5"/>
        <v>0</v>
      </c>
      <c r="K57" s="45">
        <f t="shared" si="5"/>
        <v>0</v>
      </c>
      <c r="L57" s="45">
        <f t="shared" si="5"/>
        <v>0</v>
      </c>
      <c r="M57" s="45">
        <f t="shared" si="5"/>
        <v>0</v>
      </c>
      <c r="N57" s="45">
        <f t="shared" si="5"/>
        <v>0</v>
      </c>
      <c r="O57" s="45">
        <f t="shared" si="5"/>
        <v>0</v>
      </c>
    </row>
    <row r="58" spans="2:15" hidden="1" x14ac:dyDescent="0.55000000000000004">
      <c r="B58" s="92" t="s">
        <v>1177</v>
      </c>
      <c r="C58" s="88"/>
      <c r="D58" s="89">
        <f>IF(OR(D52&gt;=1,D53&gt;=1),1,0)</f>
        <v>0</v>
      </c>
      <c r="E58" s="89">
        <f>IF(OR(E52&gt;=1,E53&gt;=1),1,0)</f>
        <v>0</v>
      </c>
      <c r="F58" s="89">
        <f t="shared" ref="F58:O58" si="6">IF(OR(F52&gt;=1,F53&gt;=1),1,0)</f>
        <v>0</v>
      </c>
      <c r="G58" s="89">
        <f t="shared" si="6"/>
        <v>0</v>
      </c>
      <c r="H58" s="89">
        <f t="shared" si="6"/>
        <v>0</v>
      </c>
      <c r="I58" s="89">
        <f t="shared" si="6"/>
        <v>0</v>
      </c>
      <c r="J58" s="89">
        <f t="shared" si="6"/>
        <v>0</v>
      </c>
      <c r="K58" s="89">
        <f t="shared" si="6"/>
        <v>0</v>
      </c>
      <c r="L58" s="89">
        <f t="shared" si="6"/>
        <v>0</v>
      </c>
      <c r="M58" s="89">
        <f t="shared" si="6"/>
        <v>0</v>
      </c>
      <c r="N58" s="89">
        <f t="shared" si="6"/>
        <v>0</v>
      </c>
      <c r="O58" s="89">
        <f t="shared" si="6"/>
        <v>0</v>
      </c>
    </row>
    <row r="59" spans="2:15" hidden="1" x14ac:dyDescent="0.55000000000000004">
      <c r="B59" s="92" t="s">
        <v>1178</v>
      </c>
      <c r="C59" s="88"/>
      <c r="D59" s="89">
        <f>IF(OR(D54&gt;=1,D55&gt;=1),1,0)</f>
        <v>0</v>
      </c>
      <c r="E59" s="89">
        <f t="shared" ref="E59:O59" si="7">IF(OR(E54&gt;=1,E55&gt;=1),1,0)</f>
        <v>0</v>
      </c>
      <c r="F59" s="89">
        <f t="shared" si="7"/>
        <v>0</v>
      </c>
      <c r="G59" s="89">
        <f t="shared" si="7"/>
        <v>0</v>
      </c>
      <c r="H59" s="89">
        <f t="shared" si="7"/>
        <v>0</v>
      </c>
      <c r="I59" s="89">
        <f t="shared" si="7"/>
        <v>0</v>
      </c>
      <c r="J59" s="89">
        <f t="shared" si="7"/>
        <v>0</v>
      </c>
      <c r="K59" s="89">
        <f t="shared" si="7"/>
        <v>0</v>
      </c>
      <c r="L59" s="89">
        <f t="shared" si="7"/>
        <v>0</v>
      </c>
      <c r="M59" s="89">
        <f t="shared" si="7"/>
        <v>0</v>
      </c>
      <c r="N59" s="89">
        <f t="shared" si="7"/>
        <v>0</v>
      </c>
      <c r="O59" s="89">
        <f t="shared" si="7"/>
        <v>0</v>
      </c>
    </row>
    <row r="60" spans="2:15" hidden="1" x14ac:dyDescent="0.55000000000000004">
      <c r="B60" s="92" t="s">
        <v>1179</v>
      </c>
      <c r="C60" s="88"/>
      <c r="D60" s="89">
        <f>IF(OR(D56&gt;=1,D57&gt;=1),1,0)</f>
        <v>0</v>
      </c>
      <c r="E60" s="89">
        <f t="shared" ref="E60:O60" si="8">IF(OR(E56&gt;=1,E57&gt;=1),1,0)</f>
        <v>0</v>
      </c>
      <c r="F60" s="89">
        <f t="shared" si="8"/>
        <v>0</v>
      </c>
      <c r="G60" s="89">
        <f t="shared" si="8"/>
        <v>0</v>
      </c>
      <c r="H60" s="89">
        <f t="shared" si="8"/>
        <v>0</v>
      </c>
      <c r="I60" s="89">
        <f t="shared" si="8"/>
        <v>0</v>
      </c>
      <c r="J60" s="89">
        <f t="shared" si="8"/>
        <v>0</v>
      </c>
      <c r="K60" s="89">
        <f t="shared" si="8"/>
        <v>0</v>
      </c>
      <c r="L60" s="89">
        <f t="shared" si="8"/>
        <v>0</v>
      </c>
      <c r="M60" s="89">
        <f t="shared" si="8"/>
        <v>0</v>
      </c>
      <c r="N60" s="89">
        <f t="shared" si="8"/>
        <v>0</v>
      </c>
      <c r="O60" s="89">
        <f t="shared" si="8"/>
        <v>0</v>
      </c>
    </row>
    <row r="61" spans="2:15" hidden="1" x14ac:dyDescent="0.55000000000000004">
      <c r="B61" s="134" t="s">
        <v>1174</v>
      </c>
      <c r="C61" s="135"/>
      <c r="D61" s="93">
        <f>D58*D59</f>
        <v>0</v>
      </c>
      <c r="E61" s="93">
        <f t="shared" ref="E61:O61" si="9">E58*E59</f>
        <v>0</v>
      </c>
      <c r="F61" s="93">
        <f t="shared" si="9"/>
        <v>0</v>
      </c>
      <c r="G61" s="93">
        <f t="shared" si="9"/>
        <v>0</v>
      </c>
      <c r="H61" s="93">
        <f t="shared" si="9"/>
        <v>0</v>
      </c>
      <c r="I61" s="93">
        <f t="shared" si="9"/>
        <v>0</v>
      </c>
      <c r="J61" s="93">
        <f t="shared" si="9"/>
        <v>0</v>
      </c>
      <c r="K61" s="93">
        <f t="shared" si="9"/>
        <v>0</v>
      </c>
      <c r="L61" s="93">
        <f t="shared" si="9"/>
        <v>0</v>
      </c>
      <c r="M61" s="93">
        <f t="shared" si="9"/>
        <v>0</v>
      </c>
      <c r="N61" s="93">
        <f t="shared" si="9"/>
        <v>0</v>
      </c>
      <c r="O61" s="93">
        <f t="shared" si="9"/>
        <v>0</v>
      </c>
    </row>
    <row r="62" spans="2:15" hidden="1" x14ac:dyDescent="0.55000000000000004">
      <c r="B62" s="137" t="s">
        <v>1175</v>
      </c>
      <c r="C62" s="138"/>
      <c r="D62" s="94">
        <f>D58*D60</f>
        <v>0</v>
      </c>
      <c r="E62" s="94">
        <f t="shared" ref="E62:O62" si="10">E58*E60</f>
        <v>0</v>
      </c>
      <c r="F62" s="94">
        <f t="shared" si="10"/>
        <v>0</v>
      </c>
      <c r="G62" s="94">
        <f t="shared" si="10"/>
        <v>0</v>
      </c>
      <c r="H62" s="94">
        <f t="shared" si="10"/>
        <v>0</v>
      </c>
      <c r="I62" s="94">
        <f t="shared" si="10"/>
        <v>0</v>
      </c>
      <c r="J62" s="94">
        <f t="shared" si="10"/>
        <v>0</v>
      </c>
      <c r="K62" s="94">
        <f t="shared" si="10"/>
        <v>0</v>
      </c>
      <c r="L62" s="94">
        <f t="shared" si="10"/>
        <v>0</v>
      </c>
      <c r="M62" s="94">
        <f t="shared" si="10"/>
        <v>0</v>
      </c>
      <c r="N62" s="94">
        <f t="shared" si="10"/>
        <v>0</v>
      </c>
      <c r="O62" s="94">
        <f t="shared" si="10"/>
        <v>0</v>
      </c>
    </row>
    <row r="63" spans="2:15" hidden="1" x14ac:dyDescent="0.55000000000000004">
      <c r="B63" s="126" t="s">
        <v>1176</v>
      </c>
      <c r="C63" s="127"/>
      <c r="D63" s="95">
        <f>D59*D60</f>
        <v>0</v>
      </c>
      <c r="E63" s="95">
        <f t="shared" ref="E63:O63" si="11">E59*E60</f>
        <v>0</v>
      </c>
      <c r="F63" s="95">
        <f t="shared" si="11"/>
        <v>0</v>
      </c>
      <c r="G63" s="95">
        <f t="shared" si="11"/>
        <v>0</v>
      </c>
      <c r="H63" s="95">
        <f t="shared" si="11"/>
        <v>0</v>
      </c>
      <c r="I63" s="95">
        <f t="shared" si="11"/>
        <v>0</v>
      </c>
      <c r="J63" s="95">
        <f t="shared" si="11"/>
        <v>0</v>
      </c>
      <c r="K63" s="95">
        <f t="shared" si="11"/>
        <v>0</v>
      </c>
      <c r="L63" s="95">
        <f t="shared" si="11"/>
        <v>0</v>
      </c>
      <c r="M63" s="95">
        <f t="shared" si="11"/>
        <v>0</v>
      </c>
      <c r="N63" s="95">
        <f t="shared" si="11"/>
        <v>0</v>
      </c>
      <c r="O63" s="95">
        <f t="shared" si="11"/>
        <v>0</v>
      </c>
    </row>
    <row r="64" spans="2:15" hidden="1" x14ac:dyDescent="0.55000000000000004">
      <c r="B64" s="42" t="s">
        <v>640</v>
      </c>
      <c r="C64" s="42"/>
      <c r="D64" s="42">
        <f t="shared" ref="D64:O64" si="12">COUNTIF(D52:D57, "&lt;&gt;0")</f>
        <v>0</v>
      </c>
      <c r="E64" s="42">
        <f t="shared" si="12"/>
        <v>0</v>
      </c>
      <c r="F64" s="42">
        <f t="shared" si="12"/>
        <v>0</v>
      </c>
      <c r="G64" s="42">
        <f t="shared" si="12"/>
        <v>0</v>
      </c>
      <c r="H64" s="42">
        <f t="shared" si="12"/>
        <v>0</v>
      </c>
      <c r="I64" s="42">
        <f t="shared" si="12"/>
        <v>0</v>
      </c>
      <c r="J64" s="42">
        <f t="shared" si="12"/>
        <v>0</v>
      </c>
      <c r="K64" s="42">
        <f t="shared" si="12"/>
        <v>0</v>
      </c>
      <c r="L64" s="42">
        <f t="shared" si="12"/>
        <v>0</v>
      </c>
      <c r="M64" s="42">
        <f t="shared" si="12"/>
        <v>0</v>
      </c>
      <c r="N64" s="42">
        <f t="shared" si="12"/>
        <v>0</v>
      </c>
      <c r="O64" s="42">
        <f t="shared" si="12"/>
        <v>0</v>
      </c>
    </row>
    <row r="66" spans="2:37" x14ac:dyDescent="0.55000000000000004">
      <c r="B66" s="128" t="s">
        <v>298</v>
      </c>
      <c r="C66" s="129"/>
      <c r="D66" s="32" t="s">
        <v>288</v>
      </c>
      <c r="E66" s="32" t="s">
        <v>289</v>
      </c>
      <c r="F66" s="32" t="s">
        <v>290</v>
      </c>
      <c r="G66" s="32" t="s">
        <v>291</v>
      </c>
      <c r="H66" s="32" t="s">
        <v>292</v>
      </c>
      <c r="I66" s="32" t="s">
        <v>293</v>
      </c>
      <c r="J66" s="32" t="s">
        <v>294</v>
      </c>
      <c r="K66" s="32" t="s">
        <v>295</v>
      </c>
      <c r="L66" s="32" t="s">
        <v>296</v>
      </c>
      <c r="M66" s="32" t="s">
        <v>297</v>
      </c>
      <c r="N66" s="32" t="s">
        <v>299</v>
      </c>
      <c r="O66" s="32" t="s">
        <v>300</v>
      </c>
      <c r="P66" s="32" t="s">
        <v>301</v>
      </c>
      <c r="Q66" s="32" t="s">
        <v>302</v>
      </c>
      <c r="R66" s="32" t="s">
        <v>303</v>
      </c>
      <c r="S66" s="32" t="s">
        <v>304</v>
      </c>
      <c r="T66" s="32" t="s">
        <v>305</v>
      </c>
      <c r="U66" s="32" t="s">
        <v>306</v>
      </c>
      <c r="V66" s="32" t="s">
        <v>307</v>
      </c>
      <c r="W66" s="32" t="s">
        <v>308</v>
      </c>
      <c r="X66" s="32" t="s">
        <v>309</v>
      </c>
      <c r="Y66" s="32" t="s">
        <v>310</v>
      </c>
      <c r="Z66" s="32" t="s">
        <v>311</v>
      </c>
      <c r="AA66" s="32" t="s">
        <v>312</v>
      </c>
      <c r="AB66" s="32" t="s">
        <v>313</v>
      </c>
      <c r="AC66" s="32" t="s">
        <v>314</v>
      </c>
      <c r="AD66" s="32" t="s">
        <v>315</v>
      </c>
      <c r="AE66" s="32" t="s">
        <v>316</v>
      </c>
      <c r="AF66" s="32" t="s">
        <v>317</v>
      </c>
      <c r="AG66" s="32" t="s">
        <v>318</v>
      </c>
      <c r="AH66" s="32" t="s">
        <v>319</v>
      </c>
      <c r="AI66" s="32" t="s">
        <v>320</v>
      </c>
      <c r="AJ66" s="32" t="s">
        <v>321</v>
      </c>
      <c r="AK66" s="32" t="s">
        <v>322</v>
      </c>
    </row>
    <row r="67" spans="2:37" x14ac:dyDescent="0.55000000000000004">
      <c r="B67" s="139" t="s">
        <v>286</v>
      </c>
      <c r="C67" s="33" t="s">
        <v>281</v>
      </c>
      <c r="D67" s="33">
        <f>COUNTIF('PF176'!AA10:AA185,"PWM0_0")</f>
        <v>0</v>
      </c>
      <c r="E67" s="33">
        <f>COUNTIF('PF176'!AA10:AA185,"PWM0_1")</f>
        <v>0</v>
      </c>
      <c r="F67" s="33">
        <f>COUNTIF('PF176'!AA10:AA185,"PWM0_2")</f>
        <v>0</v>
      </c>
      <c r="G67" s="33">
        <f>COUNTIF('PF176'!AA10:AA185,"PWM0_3")</f>
        <v>0</v>
      </c>
      <c r="H67" s="33">
        <f>COUNTIF('PF176'!AA10:AA185,"PWM0_4")</f>
        <v>0</v>
      </c>
      <c r="I67" s="33">
        <f>COUNTIF('PF176'!AA10:AA185,"PWM0_5")</f>
        <v>0</v>
      </c>
      <c r="J67" s="33">
        <f>COUNTIF('PF176'!AA10:AA185,"PWM0_6")</f>
        <v>0</v>
      </c>
      <c r="K67" s="33">
        <f>COUNTIF('PF176'!AA10:AA185,"PWM0_7")</f>
        <v>0</v>
      </c>
      <c r="L67" s="33">
        <f>COUNTIF('PF176'!AA10:AA185,"PWM0_8")</f>
        <v>0</v>
      </c>
      <c r="M67" s="33">
        <f>COUNTIF('PF176'!AA10:AA185,"PWM0_9")</f>
        <v>0</v>
      </c>
      <c r="N67" s="33">
        <f>COUNTIF('PF176'!AA10:AA185,"PWM0_10")</f>
        <v>0</v>
      </c>
      <c r="O67" s="33">
        <f>COUNTIF('PF176'!AA10:AA185,"PWM0_11")</f>
        <v>0</v>
      </c>
      <c r="P67" s="33">
        <f>COUNTIF('PF176'!AA10:AA185,"PWM0_12")</f>
        <v>0</v>
      </c>
      <c r="Q67" s="33">
        <f>COUNTIF('PF176'!AA10:AA185,"PWM0_13")</f>
        <v>0</v>
      </c>
      <c r="R67" s="33">
        <f>COUNTIF('PF176'!AA10:AA185,"PWM0_14")</f>
        <v>0</v>
      </c>
      <c r="S67" s="33">
        <f>COUNTIF('PF176'!AA10:AA185,"PWM0_15")</f>
        <v>0</v>
      </c>
      <c r="T67" s="33">
        <f>COUNTIF('PF176'!AA10:AA185,"PWM0_16")</f>
        <v>0</v>
      </c>
      <c r="U67" s="33">
        <f>COUNTIF('PF176'!AA10:AA185,"PWM0_17")</f>
        <v>0</v>
      </c>
      <c r="V67" s="33">
        <f>COUNTIF('PF176'!AA10:AA185,"PWM0_18")</f>
        <v>0</v>
      </c>
      <c r="W67" s="33">
        <f>COUNTIF('PF176'!AA10:AA185,"PWM0_19")</f>
        <v>0</v>
      </c>
      <c r="X67" s="33">
        <f>COUNTIF('PF176'!AA10:AA185,"PWM0_20")</f>
        <v>0</v>
      </c>
      <c r="Y67" s="33">
        <f>COUNTIF('PF176'!AA10:AA185,"PWM0_21")</f>
        <v>0</v>
      </c>
      <c r="Z67" s="33">
        <f>COUNTIF('PF176'!AA10:AA185,"PWM0_22")</f>
        <v>0</v>
      </c>
      <c r="AA67" s="33">
        <f>COUNTIF('PF176'!AA10:AA185,"PWM0_23")</f>
        <v>0</v>
      </c>
      <c r="AB67" s="33">
        <f>COUNTIF('PF176'!AA10:AA185,"PWM0_24")</f>
        <v>0</v>
      </c>
      <c r="AC67" s="33">
        <f>COUNTIF('PF176'!AA10:AA185,"PWM0_25")</f>
        <v>0</v>
      </c>
      <c r="AD67" s="33">
        <f>COUNTIF('PF176'!AA10:AA185,"PWM0_26")</f>
        <v>0</v>
      </c>
      <c r="AE67" s="33">
        <f>COUNTIF('PF176'!AA10:AA185,"PWM0_27")</f>
        <v>0</v>
      </c>
      <c r="AF67" s="33">
        <f>COUNTIF('PF176'!AA10:AA185,"PWM0_28")</f>
        <v>0</v>
      </c>
      <c r="AG67" s="33">
        <f>COUNTIF('PF176'!AA10:AA185,"PWM0_29")</f>
        <v>0</v>
      </c>
      <c r="AH67" s="33">
        <f>COUNTIF('PF176'!AA10:AA185,"PWM0_30")</f>
        <v>0</v>
      </c>
      <c r="AI67" s="33">
        <f>COUNTIF('PF176'!AA10:AA185,"PWM0_31")</f>
        <v>0</v>
      </c>
      <c r="AJ67" s="33">
        <f>COUNTIF('PF176'!AA10:AA185,"PWM0_32")</f>
        <v>0</v>
      </c>
      <c r="AK67" s="33">
        <f>COUNTIF('PF176'!AA10:AA185,"PWM0_33")</f>
        <v>0</v>
      </c>
    </row>
    <row r="68" spans="2:37" x14ac:dyDescent="0.55000000000000004">
      <c r="B68" s="140"/>
      <c r="C68" s="33" t="s">
        <v>282</v>
      </c>
      <c r="D68" s="33">
        <f>COUNTIF('PF176'!AA10:AA185,"PWM0_0_N")</f>
        <v>0</v>
      </c>
      <c r="E68" s="33">
        <f>COUNTIF('PF176'!AA10:AA185,"PWM0_1_N")</f>
        <v>0</v>
      </c>
      <c r="F68" s="33">
        <f>COUNTIF('PF176'!AA10:AA185,"PWM0_2_N")</f>
        <v>0</v>
      </c>
      <c r="G68" s="33">
        <f>COUNTIF('PF176'!AA10:AA185,"PWM0_3_N")</f>
        <v>0</v>
      </c>
      <c r="H68" s="33">
        <f>COUNTIF('PF176'!AA10:AA185,"PWM0_4_N")</f>
        <v>0</v>
      </c>
      <c r="I68" s="33">
        <f>COUNTIF('PF176'!AA10:AA185,"PWM0_5_N")</f>
        <v>0</v>
      </c>
      <c r="J68" s="33">
        <f>COUNTIF('PF176'!AA10:AA185,"PWM0_6_N")</f>
        <v>0</v>
      </c>
      <c r="K68" s="33">
        <f>COUNTIF('PF176'!AA10:AA185,"PWM0_7_N")</f>
        <v>0</v>
      </c>
      <c r="L68" s="33">
        <f>COUNTIF('PF176'!AA10:AA185,"PWM0_8_N")</f>
        <v>0</v>
      </c>
      <c r="M68" s="33">
        <f>COUNTIF('PF176'!AA10:AA185,"PWM0_9_N")</f>
        <v>0</v>
      </c>
      <c r="N68" s="33">
        <f>COUNTIF('PF176'!AA10:AA185,"PWM0_10_N")</f>
        <v>0</v>
      </c>
      <c r="O68" s="33">
        <f>COUNTIF('PF176'!AA10:AA185,"PWM0_11_N")</f>
        <v>0</v>
      </c>
      <c r="P68" s="33">
        <f>COUNTIF('PF176'!AA10:AA185,"PWM0_12_N")</f>
        <v>0</v>
      </c>
      <c r="Q68" s="33">
        <f>COUNTIF('PF176'!AA10:AA185,"PWM0_13_N")</f>
        <v>0</v>
      </c>
      <c r="R68" s="33">
        <f>COUNTIF('PF176'!AA10:AA185,"PWM0_14_N")</f>
        <v>0</v>
      </c>
      <c r="S68" s="33">
        <f>COUNTIF('PF176'!AA10:AA185,"PWM0_15_N")</f>
        <v>0</v>
      </c>
      <c r="T68" s="33">
        <f>COUNTIF('PF176'!AA10:AA185,"PWM0_16_N")</f>
        <v>0</v>
      </c>
      <c r="U68" s="33">
        <f>COUNTIF('PF176'!AA10:AA185,"PWM0_17_N")</f>
        <v>0</v>
      </c>
      <c r="V68" s="33">
        <f>COUNTIF('PF176'!AA10:AA185,"PWM0_18_N")</f>
        <v>0</v>
      </c>
      <c r="W68" s="33">
        <f>COUNTIF('PF176'!AA10:AA185,"PWM0_19_N")</f>
        <v>0</v>
      </c>
      <c r="X68" s="33">
        <f>COUNTIF('PF176'!AA10:AA185,"PWM0_20_N")</f>
        <v>0</v>
      </c>
      <c r="Y68" s="33">
        <f>COUNTIF('PF176'!AA10:AA185,"PWM0_21_N")</f>
        <v>0</v>
      </c>
      <c r="Z68" s="33">
        <f>COUNTIF('PF176'!AA10:AA185,"PWM0_22_N")</f>
        <v>0</v>
      </c>
      <c r="AA68" s="33">
        <f>COUNTIF('PF176'!AA10:AA185,"PWM0_23_N")</f>
        <v>0</v>
      </c>
      <c r="AB68" s="33">
        <f>COUNTIF('PF176'!AA10:AA185,"PWM0_24_N")</f>
        <v>0</v>
      </c>
      <c r="AC68" s="33">
        <f>COUNTIF('PF176'!AA10:AA185,"PWM0_25_N")</f>
        <v>0</v>
      </c>
      <c r="AD68" s="33">
        <f>COUNTIF('PF176'!AA10:AA185,"PWM0_26_N")</f>
        <v>0</v>
      </c>
      <c r="AE68" s="33">
        <f>COUNTIF('PF176'!AA10:AA185,"PWM0_27_N")</f>
        <v>0</v>
      </c>
      <c r="AF68" s="33">
        <f>COUNTIF('PF176'!AA10:AA185,"PWM0_28_N")</f>
        <v>0</v>
      </c>
      <c r="AG68" s="33">
        <f>COUNTIF('PF176'!AA10:AA185,"PWM0_29_N")</f>
        <v>0</v>
      </c>
      <c r="AH68" s="33">
        <f>COUNTIF('PF176'!AA10:AA185,"PWM0_30_N")</f>
        <v>0</v>
      </c>
      <c r="AI68" s="33">
        <f>COUNTIF('PF176'!AA10:AA185,"PWM0_31_N")</f>
        <v>0</v>
      </c>
      <c r="AJ68" s="33">
        <f>COUNTIF('PF176'!AA10:AA185,"PWM0_32_N")</f>
        <v>0</v>
      </c>
      <c r="AK68" s="33">
        <f>COUNTIF('PF176'!AA10:AA185,"PWM0_33_N")</f>
        <v>0</v>
      </c>
    </row>
    <row r="69" spans="2:37" ht="20" x14ac:dyDescent="0.55000000000000004">
      <c r="B69" s="86" t="s">
        <v>1089</v>
      </c>
      <c r="C69" s="33" t="s">
        <v>1091</v>
      </c>
      <c r="D69" s="33">
        <f>COUNTIF('PF176'!AA10:AA185,"TC0_0_TR")</f>
        <v>0</v>
      </c>
      <c r="E69" s="33">
        <f>COUNTIF('PF176'!AA10:AA185,"TC0_1_TR")</f>
        <v>0</v>
      </c>
      <c r="F69" s="33">
        <f>COUNTIF('PF176'!AA10:AA185,"TC0_2_TR")</f>
        <v>0</v>
      </c>
      <c r="G69" s="33">
        <f>COUNTIF('PF176'!AA10:AA185,"TC0_3_TR")</f>
        <v>0</v>
      </c>
      <c r="H69" s="33">
        <f>COUNTIF('PF176'!AA10:AA185,"TC0_4_TR")</f>
        <v>0</v>
      </c>
      <c r="I69" s="33">
        <f>COUNTIF('PF176'!AA10:AA185,"TC0_5_TR")</f>
        <v>0</v>
      </c>
      <c r="J69" s="33">
        <f>COUNTIF('PF176'!AA10:AA185,"TC0_6_TR")</f>
        <v>0</v>
      </c>
      <c r="K69" s="33">
        <f>COUNTIF('PF176'!AA10:AA185,"TC0_7_TR")</f>
        <v>0</v>
      </c>
      <c r="L69" s="33">
        <f>COUNTIF('PF176'!AA10:AA185,"TC0_8_TR")</f>
        <v>0</v>
      </c>
      <c r="M69" s="33">
        <f>COUNTIF('PF176'!AA10:AA185,"TC0_9_TR")</f>
        <v>0</v>
      </c>
      <c r="N69" s="33">
        <f>COUNTIF('PF176'!AA10:AA185,"TC0_10_TR")</f>
        <v>0</v>
      </c>
      <c r="O69" s="33">
        <f>COUNTIF('PF176'!AA10:AA185,"TC0_11_TR")</f>
        <v>0</v>
      </c>
      <c r="P69" s="33">
        <f>COUNTIF('PF176'!AA10:AA185,"TC0_12_TR")</f>
        <v>0</v>
      </c>
      <c r="Q69" s="33">
        <f>COUNTIF('PF176'!AA10:AA185,"TC0_13_TR")</f>
        <v>0</v>
      </c>
      <c r="R69" s="33">
        <f>COUNTIF('PF176'!AA10:AA185,"TC0_14_TR")</f>
        <v>0</v>
      </c>
      <c r="S69" s="33">
        <f>COUNTIF('PF176'!AA10:AA185,"TC0_15_TR")</f>
        <v>0</v>
      </c>
      <c r="T69" s="33">
        <f>COUNTIF('PF176'!AA10:AA185,"TC0_16_TR")</f>
        <v>0</v>
      </c>
      <c r="U69" s="33">
        <f>COUNTIF('PF176'!AA10:AA185,"TC0_17_TR")</f>
        <v>0</v>
      </c>
      <c r="V69" s="33">
        <f>COUNTIF('PF176'!AA10:AA185,"TC0_18_TR")</f>
        <v>0</v>
      </c>
      <c r="W69" s="33">
        <f>COUNTIF('PF176'!AA10:AA185,"TC0_19_TR")</f>
        <v>0</v>
      </c>
      <c r="X69" s="33">
        <f>COUNTIF('PF176'!AA10:AA185,"TC0_20_TR")</f>
        <v>0</v>
      </c>
      <c r="Y69" s="33">
        <f>COUNTIF('PF176'!AA10:AA185,"TC0_21_TR")</f>
        <v>0</v>
      </c>
      <c r="Z69" s="33">
        <f>COUNTIF('PF176'!AA10:AA185,"TC0_22_TR")</f>
        <v>0</v>
      </c>
      <c r="AA69" s="33">
        <f>COUNTIF('PF176'!AA10:AA185,"TC0_23_TR")</f>
        <v>0</v>
      </c>
      <c r="AB69" s="33">
        <f>COUNTIF('PF176'!AA10:AA185,"TC0_24_TR")</f>
        <v>0</v>
      </c>
      <c r="AC69" s="33">
        <f>COUNTIF('PF176'!AA10:AA185,"TC0_25_TR")</f>
        <v>0</v>
      </c>
      <c r="AD69" s="33">
        <f>COUNTIF('PF176'!AA10:AA185,"TC0_26_TR")</f>
        <v>0</v>
      </c>
      <c r="AE69" s="33">
        <f>COUNTIF('PF176'!AA10:AA185,"TC0_27_TR")</f>
        <v>0</v>
      </c>
      <c r="AF69" s="33">
        <f>COUNTIF('PF176'!AA10:AA185,"TC0_28_TR")</f>
        <v>0</v>
      </c>
      <c r="AG69" s="33">
        <f>COUNTIF('PF176'!AA10:AA185,"TC0_29_TR")</f>
        <v>0</v>
      </c>
      <c r="AH69" s="33">
        <f>COUNTIF('PF176'!AA10:AA185,"TC0_30_TR")</f>
        <v>0</v>
      </c>
      <c r="AI69" s="33">
        <f>COUNTIF('PF176'!AA10:AA185,"TC0_31_TR")</f>
        <v>0</v>
      </c>
      <c r="AJ69" s="33">
        <f>COUNTIF('PF176'!AA10:AA185,"TC0_32_TR")</f>
        <v>0</v>
      </c>
      <c r="AK69" s="33">
        <f>COUNTIF('PF176'!AA10:AA185,"TC0_33_TR")</f>
        <v>0</v>
      </c>
    </row>
    <row r="71" spans="2:37" x14ac:dyDescent="0.55000000000000004">
      <c r="B71" s="128" t="s">
        <v>1122</v>
      </c>
      <c r="C71" s="129"/>
      <c r="D71" s="32" t="s">
        <v>288</v>
      </c>
      <c r="E71" s="32" t="s">
        <v>289</v>
      </c>
      <c r="F71" s="32" t="s">
        <v>290</v>
      </c>
      <c r="G71" s="32" t="s">
        <v>291</v>
      </c>
      <c r="H71" s="32" t="s">
        <v>292</v>
      </c>
      <c r="I71" s="32" t="s">
        <v>293</v>
      </c>
      <c r="J71" s="32" t="s">
        <v>294</v>
      </c>
      <c r="K71" s="32" t="s">
        <v>295</v>
      </c>
      <c r="L71" s="32" t="s">
        <v>296</v>
      </c>
      <c r="M71" s="32" t="s">
        <v>297</v>
      </c>
      <c r="N71" s="32" t="s">
        <v>299</v>
      </c>
      <c r="O71" s="32" t="s">
        <v>300</v>
      </c>
      <c r="P71" s="49"/>
      <c r="Q71" s="34"/>
      <c r="R71" s="34"/>
      <c r="S71" s="34"/>
      <c r="T71" s="34"/>
      <c r="U71" s="34"/>
      <c r="V71" s="34"/>
      <c r="W71" s="34"/>
      <c r="X71" s="34"/>
      <c r="Y71" s="34"/>
      <c r="Z71" s="34"/>
      <c r="AA71" s="34"/>
      <c r="AB71" s="34"/>
      <c r="AC71" s="34"/>
      <c r="AD71" s="34"/>
      <c r="AE71" s="34"/>
      <c r="AF71" s="34"/>
      <c r="AG71" s="34"/>
      <c r="AH71" s="34"/>
      <c r="AI71" s="34"/>
      <c r="AJ71" s="34"/>
      <c r="AK71" s="34"/>
    </row>
    <row r="72" spans="2:37" x14ac:dyDescent="0.55000000000000004">
      <c r="B72" s="139" t="s">
        <v>286</v>
      </c>
      <c r="C72" s="33" t="s">
        <v>281</v>
      </c>
      <c r="D72" s="33">
        <f>COUNTIF('PF176'!AA10:AA185,"PWM0_M_0")</f>
        <v>0</v>
      </c>
      <c r="E72" s="33">
        <f>COUNTIF('PF176'!AA10:AA185,"PWM0_M_1")</f>
        <v>0</v>
      </c>
      <c r="F72" s="33">
        <f>COUNTIF('PF176'!AA10:AA185,"PWM0_M_2")</f>
        <v>0</v>
      </c>
      <c r="G72" s="33">
        <f>COUNTIF('PF176'!AA10:AA185,"PWM0_M_3")</f>
        <v>0</v>
      </c>
      <c r="H72" s="33">
        <f>COUNTIF('PF176'!AA10:AA185,"PWM0_M_4")</f>
        <v>0</v>
      </c>
      <c r="I72" s="33">
        <f>COUNTIF('PF176'!AA10:AA185,"PWM0_M_5")</f>
        <v>0</v>
      </c>
      <c r="J72" s="33">
        <f>COUNTIF('PF176'!AA10:AA185,"PWM0_M_6")</f>
        <v>0</v>
      </c>
      <c r="K72" s="33">
        <f>COUNTIF('PF176'!AA10:AA185,"PWM0_M_7")</f>
        <v>0</v>
      </c>
      <c r="L72" s="33">
        <f>COUNTIF('PF176'!AA10:AA185,"PWM0_M_8")</f>
        <v>0</v>
      </c>
      <c r="M72" s="33">
        <f>COUNTIF('PF176'!AA10:AA185,"PWM0_M_9")</f>
        <v>0</v>
      </c>
      <c r="N72" s="33">
        <f>COUNTIF('PF176'!AA10:AA185,"PWM0_M_10")</f>
        <v>0</v>
      </c>
      <c r="O72" s="33">
        <f>COUNTIF('PF176'!AA10:AA185,"PWM0_M_11")</f>
        <v>0</v>
      </c>
      <c r="P72" s="50"/>
    </row>
    <row r="73" spans="2:37" x14ac:dyDescent="0.55000000000000004">
      <c r="B73" s="140"/>
      <c r="C73" s="33" t="s">
        <v>282</v>
      </c>
      <c r="D73" s="33">
        <f>COUNTIF('PF176'!AA10:AA185,"PWM0_M_0_N")</f>
        <v>0</v>
      </c>
      <c r="E73" s="33">
        <f>COUNTIF('PF176'!AA10:AA185,"PWM0_M_1_N")</f>
        <v>0</v>
      </c>
      <c r="F73" s="33">
        <f>COUNTIF('PF176'!AA10:AA185,"PWM0_M_2_N")</f>
        <v>0</v>
      </c>
      <c r="G73" s="33">
        <f>COUNTIF('PF176'!AA10:AA185,"PWM0_M_3_N")</f>
        <v>0</v>
      </c>
      <c r="H73" s="33">
        <f>COUNTIF('PF176'!AA10:AA185,"PWM0_M_4_N")</f>
        <v>0</v>
      </c>
      <c r="I73" s="33">
        <f>COUNTIF('PF176'!AA10:AA185,"PWM0_M_5_N")</f>
        <v>0</v>
      </c>
      <c r="J73" s="33">
        <f>COUNTIF('PF176'!AA10:AA185,"PWM0_M_6_N")</f>
        <v>0</v>
      </c>
      <c r="K73" s="33">
        <f>COUNTIF('PF176'!AA10:AA185,"PWM0_M_7_N")</f>
        <v>0</v>
      </c>
      <c r="L73" s="33">
        <f>COUNTIF('PF176'!AA10:AA185,"PWM0_M_8_N")</f>
        <v>0</v>
      </c>
      <c r="M73" s="33">
        <f>COUNTIF('PF176'!AA10:AA185,"PWM0_M_9_N")</f>
        <v>0</v>
      </c>
      <c r="N73" s="33">
        <f>COUNTIF('PF176'!AA10:AA185,"PWM0_M_10_N")</f>
        <v>0</v>
      </c>
      <c r="O73" s="33">
        <f>COUNTIF('PF176'!AA10:AA185,"PWM0_M_11_N")</f>
        <v>0</v>
      </c>
      <c r="P73" s="50"/>
    </row>
    <row r="75" spans="2:37" x14ac:dyDescent="0.55000000000000004">
      <c r="B75" s="128" t="s">
        <v>1123</v>
      </c>
      <c r="C75" s="129"/>
      <c r="D75" s="32" t="s">
        <v>288</v>
      </c>
      <c r="E75" s="32" t="s">
        <v>289</v>
      </c>
      <c r="F75" s="32" t="s">
        <v>290</v>
      </c>
      <c r="G75" s="32" t="s">
        <v>291</v>
      </c>
      <c r="H75" s="32" t="s">
        <v>292</v>
      </c>
      <c r="I75" s="32" t="s">
        <v>293</v>
      </c>
      <c r="J75" s="32" t="s">
        <v>294</v>
      </c>
      <c r="K75" s="32" t="s">
        <v>295</v>
      </c>
      <c r="L75" s="32" t="s">
        <v>296</v>
      </c>
      <c r="M75" s="32" t="s">
        <v>297</v>
      </c>
      <c r="N75" s="32" t="s">
        <v>299</v>
      </c>
      <c r="O75" s="32" t="s">
        <v>300</v>
      </c>
      <c r="P75" s="32" t="s">
        <v>301</v>
      </c>
      <c r="Q75" s="32" t="s">
        <v>302</v>
      </c>
      <c r="R75" s="32" t="s">
        <v>303</v>
      </c>
      <c r="S75" s="32" t="s">
        <v>304</v>
      </c>
      <c r="AH75" s="34"/>
      <c r="AI75" s="34"/>
      <c r="AJ75" s="34"/>
      <c r="AK75" s="34"/>
    </row>
    <row r="76" spans="2:37" x14ac:dyDescent="0.55000000000000004">
      <c r="B76" s="139" t="s">
        <v>286</v>
      </c>
      <c r="C76" s="33" t="s">
        <v>281</v>
      </c>
      <c r="D76" s="33">
        <f>COUNTIF('PF176'!AA10:AA185,"PWM0_H_0")</f>
        <v>0</v>
      </c>
      <c r="E76" s="33">
        <f>COUNTIF('PF176'!AA10:AA185,"PWM0_H_1")</f>
        <v>0</v>
      </c>
      <c r="F76" s="33">
        <f>COUNTIF('PF176'!AA10:AA185,"PWM0_H_2")</f>
        <v>0</v>
      </c>
      <c r="G76" s="33">
        <f>COUNTIF('PF176'!AA10:AA185,"PWM0_H_3")</f>
        <v>0</v>
      </c>
      <c r="H76" s="33">
        <f>COUNTIF('PF176'!AA10:AA185,"PWM0_H_4")</f>
        <v>0</v>
      </c>
      <c r="I76" s="33">
        <f>COUNTIF('PF176'!AA10:AA185,"PWM0_H_5")</f>
        <v>0</v>
      </c>
      <c r="J76" s="33">
        <f>COUNTIF('PF176'!AA10:AA185,"PWM0_H_6")</f>
        <v>0</v>
      </c>
      <c r="K76" s="33">
        <f>COUNTIF('PF176'!AA10:AA185,"PWM0_H_7")</f>
        <v>0</v>
      </c>
      <c r="L76" s="33">
        <f>COUNTIF('PF176'!AA10:AA185,"PWM0_H_8")</f>
        <v>0</v>
      </c>
      <c r="M76" s="33">
        <f>COUNTIF('PF176'!AA10:AA185,"PWM0_H_9")</f>
        <v>0</v>
      </c>
      <c r="N76" s="33">
        <f>COUNTIF('PF176'!AA10:AA185,"PWM0_H_10")</f>
        <v>0</v>
      </c>
      <c r="O76" s="33">
        <f>COUNTIF('PF176'!AA10:AA185,"PWM0_H_11")</f>
        <v>0</v>
      </c>
      <c r="P76" s="33">
        <f>COUNTIF('PF176'!AA10:AA185,"PWM0_H_12")</f>
        <v>0</v>
      </c>
      <c r="Q76" s="33">
        <f>COUNTIF('PF176'!AA10:AA185,"PWM0_H_13")</f>
        <v>0</v>
      </c>
      <c r="R76" s="33">
        <f>COUNTIF('PF176'!AA10:AA185,"PWM0_H_14")</f>
        <v>0</v>
      </c>
      <c r="S76" s="33">
        <f>COUNTIF('PF176'!AA10:AA185,"PWM0_H_15")</f>
        <v>0</v>
      </c>
    </row>
    <row r="77" spans="2:37" x14ac:dyDescent="0.55000000000000004">
      <c r="B77" s="140"/>
      <c r="C77" s="33" t="s">
        <v>282</v>
      </c>
      <c r="D77" s="33">
        <f>COUNTIF('PF176'!AA10:AA185,"PWM0_H_0_N")</f>
        <v>0</v>
      </c>
      <c r="E77" s="33">
        <f>COUNTIF('PF176'!AA10:AA185,"PWM0_H_1_N")</f>
        <v>0</v>
      </c>
      <c r="F77" s="33">
        <f>COUNTIF('PF176'!AA10:AA185,"PWM0_H_2_N")</f>
        <v>0</v>
      </c>
      <c r="G77" s="33">
        <f>COUNTIF('PF176'!AA10:AA185,"PWM0_H_3_N")</f>
        <v>0</v>
      </c>
      <c r="H77" s="33">
        <f>COUNTIF('PF176'!AA10:AA185,"PWM0_H_4_N")</f>
        <v>0</v>
      </c>
      <c r="I77" s="33">
        <f>COUNTIF('PF176'!AA10:AA185,"PWM0_H_5_N")</f>
        <v>0</v>
      </c>
      <c r="J77" s="33">
        <f>COUNTIF('PF176'!AA10:AA185,"PWM0_H_6_N")</f>
        <v>0</v>
      </c>
      <c r="K77" s="33">
        <f>COUNTIF('PF176'!AA10:AA185,"PWM0_H_7_N")</f>
        <v>0</v>
      </c>
      <c r="L77" s="33">
        <f>COUNTIF('PF176'!AA10:AA185,"PWM0_H_8_N")</f>
        <v>0</v>
      </c>
      <c r="M77" s="33">
        <f>COUNTIF('PF176'!AA10:AA185,"PWM0_H_9_N")</f>
        <v>0</v>
      </c>
      <c r="N77" s="33">
        <f>COUNTIF('PF176'!AA10:AA185,"PWM0_H_10_N")</f>
        <v>0</v>
      </c>
      <c r="O77" s="33">
        <f>COUNTIF('PF176'!AA10:AA185,"PWM0_H_11_N")</f>
        <v>0</v>
      </c>
      <c r="P77" s="33">
        <f>COUNTIF('PF176'!AA10:AA185,"PWM0_H_12_N")</f>
        <v>0</v>
      </c>
      <c r="Q77" s="33">
        <f>COUNTIF('PF176'!AA10:AA185,"PWM0_H_13_N")</f>
        <v>0</v>
      </c>
      <c r="R77" s="33">
        <f>COUNTIF('PF176'!AA10:AA185,"PWM0_H_14_N")</f>
        <v>0</v>
      </c>
      <c r="S77" s="33">
        <f>COUNTIF('PF176'!AA10:AA185,"PWM0_H_15_N")</f>
        <v>0</v>
      </c>
    </row>
    <row r="78" spans="2:37" ht="20" x14ac:dyDescent="0.55000000000000004">
      <c r="B78" s="86" t="s">
        <v>1090</v>
      </c>
      <c r="C78" s="33" t="s">
        <v>1091</v>
      </c>
      <c r="D78" s="33">
        <f>COUNTIF('PF176'!AA10:AA185,"TC0_H_0_TR")</f>
        <v>0</v>
      </c>
      <c r="E78" s="33">
        <f>COUNTIF('PF176'!AA10:AA185,"TC0_H_1_TR")</f>
        <v>0</v>
      </c>
      <c r="F78" s="33">
        <f>COUNTIF('PF176'!AA10:AA185,"TC0_H_2_TR")</f>
        <v>0</v>
      </c>
      <c r="G78" s="33">
        <f>COUNTIF('PF176'!AA10:AA185,"TC0_H_3_TR")</f>
        <v>0</v>
      </c>
      <c r="H78" s="33">
        <f>COUNTIF('PF176'!AA10:AA185,"TC0_H_4_TR")</f>
        <v>0</v>
      </c>
      <c r="I78" s="33">
        <f>COUNTIF('PF176'!AA10:AA185,"TC0_H_5_TR")</f>
        <v>0</v>
      </c>
      <c r="J78" s="33">
        <f>COUNTIF('PF176'!AA10:AA185,"TC0_H_6_TR")</f>
        <v>0</v>
      </c>
      <c r="K78" s="33">
        <f>COUNTIF('PF176'!AA10:AA185,"TC0_H_7_TR")</f>
        <v>0</v>
      </c>
      <c r="L78" s="33">
        <f>COUNTIF('PF176'!AA10:AA185,"TC0_H_8_TR")</f>
        <v>0</v>
      </c>
      <c r="M78" s="33">
        <f>COUNTIF('PF176'!AA10:AA185,"TC0_H_9_TR")</f>
        <v>0</v>
      </c>
      <c r="N78" s="33">
        <f>COUNTIF('PF176'!AA10:AA185,"TC0_H_10_TR")</f>
        <v>0</v>
      </c>
      <c r="O78" s="33">
        <f>COUNTIF('PF176'!AA10:AA185,"TC0_H_11_TR")</f>
        <v>0</v>
      </c>
      <c r="P78" s="33">
        <f>COUNTIF('PF176'!AA10:AA185,"TC0_H_12_TR")</f>
        <v>0</v>
      </c>
      <c r="Q78" s="33">
        <f>COUNTIF('PF176'!AA10:AA185,"TC0_H_13_TR")</f>
        <v>0</v>
      </c>
      <c r="R78" s="33">
        <f>COUNTIF('PF176'!AA10:AA185,"TC0_H_14_TR")</f>
        <v>0</v>
      </c>
      <c r="S78" s="33">
        <f>COUNTIF('PF176'!AA10:AA185,"TC0_H_15_TR")</f>
        <v>0</v>
      </c>
    </row>
    <row r="79" spans="2:37" ht="10" customHeight="1" x14ac:dyDescent="0.55000000000000004"/>
    <row r="81" spans="2:5" x14ac:dyDescent="0.55000000000000004">
      <c r="B81" s="128" t="s">
        <v>278</v>
      </c>
      <c r="C81" s="129"/>
      <c r="D81" s="32" t="s">
        <v>279</v>
      </c>
      <c r="E81" s="32" t="s">
        <v>280</v>
      </c>
    </row>
    <row r="82" spans="2:5" x14ac:dyDescent="0.55000000000000004">
      <c r="B82" s="121" t="s">
        <v>273</v>
      </c>
      <c r="C82" s="33" t="s">
        <v>323</v>
      </c>
      <c r="D82" s="33">
        <f>COUNTIF('PF176'!AA10:AA185,"ADC[0]_0")</f>
        <v>0</v>
      </c>
      <c r="E82" s="33">
        <f>COUNTIF('PF176'!AA10:AA185,"ADC[1]_0")</f>
        <v>0</v>
      </c>
    </row>
    <row r="83" spans="2:5" x14ac:dyDescent="0.55000000000000004">
      <c r="B83" s="122"/>
      <c r="C83" s="33" t="s">
        <v>324</v>
      </c>
      <c r="D83" s="33">
        <f>COUNTIF('PF176'!AA10:AA185,"ADC[0]_1")</f>
        <v>0</v>
      </c>
      <c r="E83" s="33">
        <f>COUNTIF('PF176'!AA10:AA185,"ADC[1]_1")</f>
        <v>0</v>
      </c>
    </row>
    <row r="84" spans="2:5" x14ac:dyDescent="0.55000000000000004">
      <c r="B84" s="122"/>
      <c r="C84" s="33" t="s">
        <v>325</v>
      </c>
      <c r="D84" s="33">
        <f>COUNTIF('PF176'!AA10:AA185,"ADC[0]_2")</f>
        <v>0</v>
      </c>
      <c r="E84" s="33">
        <f>COUNTIF('PF176'!AA10:AA185,"ADC[1]_2")</f>
        <v>0</v>
      </c>
    </row>
    <row r="85" spans="2:5" x14ac:dyDescent="0.55000000000000004">
      <c r="B85" s="122"/>
      <c r="C85" s="33" t="s">
        <v>326</v>
      </c>
      <c r="D85" s="33">
        <f>COUNTIF('PF176'!AA10:AA185,"ADC[0]_3")</f>
        <v>0</v>
      </c>
      <c r="E85" s="33">
        <f>COUNTIF('PF176'!AA10:AA185,"ADC[1]_3")</f>
        <v>0</v>
      </c>
    </row>
    <row r="86" spans="2:5" x14ac:dyDescent="0.55000000000000004">
      <c r="B86" s="122"/>
      <c r="C86" s="33" t="s">
        <v>327</v>
      </c>
      <c r="D86" s="33">
        <f>COUNTIF('PF176'!AA10:AA185,"ADC[0]_4")</f>
        <v>0</v>
      </c>
      <c r="E86" s="33">
        <f>COUNTIF('PF176'!AA10:AA185,"ADC[1]_4")</f>
        <v>0</v>
      </c>
    </row>
    <row r="87" spans="2:5" x14ac:dyDescent="0.55000000000000004">
      <c r="B87" s="122"/>
      <c r="C87" s="33" t="s">
        <v>328</v>
      </c>
      <c r="D87" s="33">
        <f>COUNTIF('PF176'!AA10:AA185,"ADC[0]_5")</f>
        <v>0</v>
      </c>
      <c r="E87" s="33">
        <f>COUNTIF('PF176'!AA10:AA185,"ADC[1]_5")</f>
        <v>0</v>
      </c>
    </row>
    <row r="88" spans="2:5" x14ac:dyDescent="0.55000000000000004">
      <c r="B88" s="122"/>
      <c r="C88" s="33" t="s">
        <v>329</v>
      </c>
      <c r="D88" s="33">
        <f>COUNTIF('PF176'!AA10:AA185,"ADC[0]_6")</f>
        <v>0</v>
      </c>
      <c r="E88" s="33">
        <f>COUNTIF('PF176'!AA10:AA185,"ADC[1]_6")</f>
        <v>0</v>
      </c>
    </row>
    <row r="89" spans="2:5" x14ac:dyDescent="0.55000000000000004">
      <c r="B89" s="122"/>
      <c r="C89" s="33" t="s">
        <v>330</v>
      </c>
      <c r="D89" s="33">
        <f>COUNTIF('PF176'!AA10:AA185,"ADC[0]_7")</f>
        <v>0</v>
      </c>
      <c r="E89" s="33">
        <f>COUNTIF('PF176'!AA10:AA185,"ADC[1]_7")</f>
        <v>0</v>
      </c>
    </row>
    <row r="90" spans="2:5" x14ac:dyDescent="0.55000000000000004">
      <c r="B90" s="122"/>
      <c r="C90" s="33" t="s">
        <v>331</v>
      </c>
      <c r="D90" s="33">
        <f>COUNTIF('PF176'!AA10:AA185,"ADC[0]_8")</f>
        <v>0</v>
      </c>
      <c r="E90" s="33">
        <f>COUNTIF('PF176'!AA10:AA185,"ADC[1]_8")</f>
        <v>0</v>
      </c>
    </row>
    <row r="91" spans="2:5" x14ac:dyDescent="0.55000000000000004">
      <c r="B91" s="122"/>
      <c r="C91" s="33" t="s">
        <v>332</v>
      </c>
      <c r="D91" s="33">
        <f>COUNTIF('PF176'!AA10:AA185,"ADC[0]_9")</f>
        <v>0</v>
      </c>
      <c r="E91" s="33">
        <f>COUNTIF('PF176'!AA10:AA185,"ADC[1]_9")</f>
        <v>0</v>
      </c>
    </row>
    <row r="92" spans="2:5" x14ac:dyDescent="0.55000000000000004">
      <c r="B92" s="122"/>
      <c r="C92" s="33" t="s">
        <v>333</v>
      </c>
      <c r="D92" s="33">
        <f>COUNTIF('PF176'!AA10:AA185,"ADC[0]_10")</f>
        <v>0</v>
      </c>
      <c r="E92" s="33">
        <f>COUNTIF('PF176'!AA10:AA185,"ADC[1]_10")</f>
        <v>0</v>
      </c>
    </row>
    <row r="93" spans="2:5" x14ac:dyDescent="0.55000000000000004">
      <c r="B93" s="122"/>
      <c r="C93" s="33" t="s">
        <v>334</v>
      </c>
      <c r="D93" s="33">
        <f>COUNTIF('PF176'!AA10:AA185,"ADC[0]_11")</f>
        <v>0</v>
      </c>
      <c r="E93" s="33">
        <f>COUNTIF('PF176'!AA10:AA185,"ADC[1]_11")</f>
        <v>0</v>
      </c>
    </row>
    <row r="94" spans="2:5" x14ac:dyDescent="0.55000000000000004">
      <c r="B94" s="122"/>
      <c r="C94" s="33" t="s">
        <v>335</v>
      </c>
      <c r="D94" s="33">
        <f>COUNTIF('PF176'!AA10:AA185,"ADC[0]_12")</f>
        <v>0</v>
      </c>
      <c r="E94" s="33">
        <f>COUNTIF('PF176'!AA10:AA185,"ADC[1]_12")</f>
        <v>0</v>
      </c>
    </row>
    <row r="95" spans="2:5" x14ac:dyDescent="0.55000000000000004">
      <c r="B95" s="122"/>
      <c r="C95" s="33" t="s">
        <v>336</v>
      </c>
      <c r="D95" s="33">
        <f>COUNTIF('PF176'!AA10:AA185,"ADC[0]_13")</f>
        <v>0</v>
      </c>
      <c r="E95" s="33">
        <f>COUNTIF('PF176'!AA10:AA185,"ADC[1]_13")</f>
        <v>0</v>
      </c>
    </row>
    <row r="96" spans="2:5" x14ac:dyDescent="0.55000000000000004">
      <c r="B96" s="122"/>
      <c r="C96" s="33" t="s">
        <v>337</v>
      </c>
      <c r="D96" s="33">
        <f>COUNTIF('PF176'!AA10:AA185,"ADC[0]_14")</f>
        <v>0</v>
      </c>
      <c r="E96" s="33">
        <f>COUNTIF('PF176'!AA10:AA185,"ADC[1]_14")</f>
        <v>0</v>
      </c>
    </row>
    <row r="97" spans="2:5" x14ac:dyDescent="0.55000000000000004">
      <c r="B97" s="122"/>
      <c r="C97" s="33" t="s">
        <v>338</v>
      </c>
      <c r="D97" s="33">
        <f>COUNTIF('PF176'!AA10:AA185,"ADC[0]_15")</f>
        <v>0</v>
      </c>
      <c r="E97" s="33">
        <f>COUNTIF('PF176'!AA10:AA185,"ADC[1]_15")</f>
        <v>0</v>
      </c>
    </row>
    <row r="98" spans="2:5" x14ac:dyDescent="0.55000000000000004">
      <c r="B98" s="122"/>
      <c r="C98" s="33" t="s">
        <v>339</v>
      </c>
      <c r="D98" s="33">
        <f>COUNTIF('PF176'!AA10:AA185,"ADC[0]_16")</f>
        <v>0</v>
      </c>
      <c r="E98" s="33">
        <f>COUNTIF('PF176'!AA10:AA185,"ADC[1]_16")</f>
        <v>0</v>
      </c>
    </row>
    <row r="99" spans="2:5" x14ac:dyDescent="0.55000000000000004">
      <c r="B99" s="122"/>
      <c r="C99" s="33" t="s">
        <v>340</v>
      </c>
      <c r="D99" s="33">
        <f>COUNTIF('PF176'!AA10:AA185,"ADC[0]_17")</f>
        <v>0</v>
      </c>
      <c r="E99" s="33">
        <f>COUNTIF('PF176'!AA10:AA185,"ADC[1]_17")</f>
        <v>0</v>
      </c>
    </row>
    <row r="100" spans="2:5" x14ac:dyDescent="0.55000000000000004">
      <c r="B100" s="122"/>
      <c r="C100" s="33" t="s">
        <v>341</v>
      </c>
      <c r="D100" s="33">
        <f>COUNTIF('PF176'!AA10:AA185,"ADC[0]_18")</f>
        <v>0</v>
      </c>
      <c r="E100" s="33">
        <f>COUNTIF('PF176'!AA10:AA185,"ADC[1]_18")</f>
        <v>0</v>
      </c>
    </row>
    <row r="101" spans="2:5" x14ac:dyDescent="0.55000000000000004">
      <c r="B101" s="122"/>
      <c r="C101" s="33" t="s">
        <v>342</v>
      </c>
      <c r="D101" s="33">
        <f>COUNTIF('PF176'!AA10:AA185,"ADC[0]_19")</f>
        <v>0</v>
      </c>
      <c r="E101" s="33">
        <f>COUNTIF('PF176'!AA10:AA185,"ADC[1]_19")</f>
        <v>0</v>
      </c>
    </row>
    <row r="102" spans="2:5" x14ac:dyDescent="0.55000000000000004">
      <c r="B102" s="122"/>
      <c r="C102" s="33" t="s">
        <v>343</v>
      </c>
      <c r="D102" s="33">
        <f>COUNTIF('PF176'!AA10:AA185,"ADC[0]_20")</f>
        <v>0</v>
      </c>
      <c r="E102" s="33">
        <f>COUNTIF('PF176'!AA10:AA185,"ADC[1]_20")</f>
        <v>0</v>
      </c>
    </row>
    <row r="103" spans="2:5" x14ac:dyDescent="0.55000000000000004">
      <c r="B103" s="122"/>
      <c r="C103" s="33" t="s">
        <v>344</v>
      </c>
      <c r="D103" s="33">
        <f>COUNTIF('PF176'!AA10:AA185,"ADC[0]_21")</f>
        <v>0</v>
      </c>
      <c r="E103" s="33">
        <f>COUNTIF('PF176'!AA10:AA185,"ADC[1]_21")</f>
        <v>0</v>
      </c>
    </row>
    <row r="104" spans="2:5" x14ac:dyDescent="0.55000000000000004">
      <c r="B104" s="122"/>
      <c r="C104" s="33" t="s">
        <v>345</v>
      </c>
      <c r="D104" s="33">
        <f>COUNTIF('PF176'!AA10:AA185,"ADC[0]_22")</f>
        <v>0</v>
      </c>
      <c r="E104" s="33">
        <f>COUNTIF('PF176'!AA10:AA185,"ADC[1]_22")</f>
        <v>0</v>
      </c>
    </row>
    <row r="105" spans="2:5" x14ac:dyDescent="0.55000000000000004">
      <c r="B105" s="123"/>
      <c r="C105" s="33" t="s">
        <v>346</v>
      </c>
      <c r="D105" s="33">
        <f>COUNTIF('PF176'!AA10:AA185,"ADC[0]_23")</f>
        <v>0</v>
      </c>
      <c r="E105" s="33">
        <f>COUNTIF('PF176'!AA10:AA185,"ADC[1]_23")</f>
        <v>0</v>
      </c>
    </row>
    <row r="108" spans="2:5" x14ac:dyDescent="0.55000000000000004">
      <c r="B108" s="128" t="s">
        <v>643</v>
      </c>
      <c r="C108" s="129"/>
      <c r="D108" s="32" t="s">
        <v>645</v>
      </c>
      <c r="E108" s="32" t="s">
        <v>646</v>
      </c>
    </row>
    <row r="109" spans="2:5" x14ac:dyDescent="0.55000000000000004">
      <c r="B109" s="121" t="s">
        <v>273</v>
      </c>
      <c r="C109" s="33" t="s">
        <v>269</v>
      </c>
      <c r="D109" s="33">
        <f>COUNTIF('PF176'!AA10:AA185,"CXPI0_RX")</f>
        <v>0</v>
      </c>
      <c r="E109" s="33">
        <f>COUNTIF('PF176'!AA10:AA185,"CXPI1_RX")</f>
        <v>0</v>
      </c>
    </row>
    <row r="110" spans="2:5" x14ac:dyDescent="0.55000000000000004">
      <c r="B110" s="122"/>
      <c r="C110" s="33" t="s">
        <v>268</v>
      </c>
      <c r="D110" s="33">
        <f>COUNTIF('PF176'!AA10:AA185,"CXPI0_TX")</f>
        <v>0</v>
      </c>
      <c r="E110" s="33">
        <f>COUNTIF('PF176'!AA10:AA185,"CXPI1_TX")</f>
        <v>0</v>
      </c>
    </row>
    <row r="111" spans="2:5" x14ac:dyDescent="0.55000000000000004">
      <c r="B111" s="141"/>
      <c r="C111" s="33" t="s">
        <v>644</v>
      </c>
      <c r="D111" s="33">
        <f>COUNTIF('PF176'!AA10:AA185,"CXPI0_EN")</f>
        <v>0</v>
      </c>
      <c r="E111" s="33">
        <f>COUNTIF('PF176'!AA10:AA185,"CXPI1_EN")</f>
        <v>0</v>
      </c>
    </row>
    <row r="114" spans="2:5" x14ac:dyDescent="0.55000000000000004">
      <c r="B114" s="128" t="s">
        <v>1094</v>
      </c>
      <c r="C114" s="129"/>
      <c r="D114" s="32" t="s">
        <v>1095</v>
      </c>
      <c r="E114" s="32" t="s">
        <v>1108</v>
      </c>
    </row>
    <row r="115" spans="2:5" x14ac:dyDescent="0.55000000000000004">
      <c r="B115" s="121" t="s">
        <v>273</v>
      </c>
      <c r="C115" s="33" t="s">
        <v>1125</v>
      </c>
      <c r="D115" s="33">
        <f>COUNTIF('PF176'!AA10:AA185,"TDM_RX_FSYNC[0] (0)*")</f>
        <v>0</v>
      </c>
      <c r="E115" s="33">
        <f>COUNTIF('PF176'!AA10:AA185,"TDM_RX_FSYNC[1] (0)*")</f>
        <v>0</v>
      </c>
    </row>
    <row r="116" spans="2:5" x14ac:dyDescent="0.55000000000000004">
      <c r="B116" s="122"/>
      <c r="C116" s="33" t="s">
        <v>1126</v>
      </c>
      <c r="D116" s="33">
        <f>COUNTIF('PF176'!AA10:AA185,"TDM_RX_FSYNC[0] (1)*")</f>
        <v>0</v>
      </c>
      <c r="E116" s="33">
        <f>COUNTIF('PF176'!AA10:AA185,"TDM_RX_FSYNC[1] (1)*")</f>
        <v>0</v>
      </c>
    </row>
    <row r="117" spans="2:5" x14ac:dyDescent="0.55000000000000004">
      <c r="B117" s="161"/>
      <c r="C117" s="33" t="s">
        <v>1127</v>
      </c>
      <c r="D117" s="33">
        <f>COUNTIF('PF176'!AA10:AA185,"TDM_RX_MCK[0] (0)*")</f>
        <v>0</v>
      </c>
      <c r="E117" s="33">
        <f>COUNTIF('PF176'!AA10:AA185,"TDM_RX_MCK[1] (0)*")</f>
        <v>0</v>
      </c>
    </row>
    <row r="118" spans="2:5" x14ac:dyDescent="0.55000000000000004">
      <c r="B118" s="161"/>
      <c r="C118" s="33" t="s">
        <v>1128</v>
      </c>
      <c r="D118" s="33">
        <f>COUNTIF('PF176'!AA10:AA185,"TDM_RX_MCK[0] (1)*")</f>
        <v>0</v>
      </c>
      <c r="E118" s="33">
        <f>COUNTIF('PF176'!AA10:AA185,"TDM_RX_MCK[1] (1)*")</f>
        <v>0</v>
      </c>
    </row>
    <row r="119" spans="2:5" x14ac:dyDescent="0.55000000000000004">
      <c r="B119" s="161"/>
      <c r="C119" s="33" t="s">
        <v>1129</v>
      </c>
      <c r="D119" s="33">
        <f>COUNTIF('PF176'!AA10:AA185,"TDM_RX_SCK[0] (0)*")</f>
        <v>0</v>
      </c>
      <c r="E119" s="33">
        <f>COUNTIF('PF176'!AA10:AA185,"TDM_RX_SCK[1] (0)*")</f>
        <v>0</v>
      </c>
    </row>
    <row r="120" spans="2:5" x14ac:dyDescent="0.55000000000000004">
      <c r="B120" s="161"/>
      <c r="C120" s="33" t="s">
        <v>1130</v>
      </c>
      <c r="D120" s="33">
        <f>COUNTIF('PF176'!AA10:AA185,"TDM_RX_SCK[0] (1)*")</f>
        <v>0</v>
      </c>
      <c r="E120" s="33">
        <f>COUNTIF('PF176'!AA10:AA185,"TDM_RX_SCK[1] (1)*")</f>
        <v>0</v>
      </c>
    </row>
    <row r="121" spans="2:5" x14ac:dyDescent="0.55000000000000004">
      <c r="B121" s="161"/>
      <c r="C121" s="33" t="s">
        <v>1131</v>
      </c>
      <c r="D121" s="33">
        <f>COUNTIF('PF176'!AA10:AA185,"TDM_RX_SD[0] (0)*")</f>
        <v>0</v>
      </c>
      <c r="E121" s="33">
        <f>COUNTIF('PF176'!AA10:AA185,"TDM_RX_SD[1] (0)*")</f>
        <v>0</v>
      </c>
    </row>
    <row r="122" spans="2:5" x14ac:dyDescent="0.55000000000000004">
      <c r="B122" s="161"/>
      <c r="C122" s="33" t="s">
        <v>1132</v>
      </c>
      <c r="D122" s="33">
        <f>COUNTIF('PF176'!AA10:AA185,"TDM_RX_SD[0] (1)*")</f>
        <v>0</v>
      </c>
      <c r="E122" s="33">
        <f>COUNTIF('PF176'!AA10:AA185,"TDM_RX_SD[1] (1)*")</f>
        <v>0</v>
      </c>
    </row>
    <row r="123" spans="2:5" x14ac:dyDescent="0.55000000000000004">
      <c r="B123" s="161"/>
      <c r="C123" s="33" t="s">
        <v>1133</v>
      </c>
      <c r="D123" s="33">
        <f>COUNTIF('PF176'!AA10:AA185,"TDM_TX_FSYNC[0] (0)*")</f>
        <v>0</v>
      </c>
      <c r="E123" s="33">
        <f>COUNTIF('PF176'!AA10:AA185,"TDM_TX_FSYNC[1] (0)*")</f>
        <v>0</v>
      </c>
    </row>
    <row r="124" spans="2:5" x14ac:dyDescent="0.55000000000000004">
      <c r="B124" s="161"/>
      <c r="C124" s="33" t="s">
        <v>1134</v>
      </c>
      <c r="D124" s="33">
        <f>COUNTIF('PF176'!AA10:AA185,"TDM_TX_FSYNC[0] (1)*")</f>
        <v>0</v>
      </c>
      <c r="E124" s="33">
        <f>COUNTIF('PF176'!AA10:AA185,"TDM_TX_FSYNC[1] (1)*")</f>
        <v>0</v>
      </c>
    </row>
    <row r="125" spans="2:5" x14ac:dyDescent="0.55000000000000004">
      <c r="B125" s="161"/>
      <c r="C125" s="33" t="s">
        <v>1135</v>
      </c>
      <c r="D125" s="33">
        <f>COUNTIF('PF176'!AA10:AA185,"TDM_TX_MCK[0] (0)*")</f>
        <v>0</v>
      </c>
      <c r="E125" s="33">
        <f>COUNTIF('PF176'!AA10:AA185,"TDM_TX_MCK[1] (0)*")</f>
        <v>0</v>
      </c>
    </row>
    <row r="126" spans="2:5" x14ac:dyDescent="0.55000000000000004">
      <c r="B126" s="161"/>
      <c r="C126" s="33" t="s">
        <v>1136</v>
      </c>
      <c r="D126" s="33">
        <f>COUNTIF('PF176'!AA10:AA185,"TDM_TX_MCK[0] (1)*")</f>
        <v>0</v>
      </c>
      <c r="E126" s="33">
        <f>COUNTIF('PF176'!AA10:AA185,"TDM_TX_MCK[1] (1)*")</f>
        <v>0</v>
      </c>
    </row>
    <row r="127" spans="2:5" x14ac:dyDescent="0.55000000000000004">
      <c r="B127" s="161"/>
      <c r="C127" s="33" t="s">
        <v>1137</v>
      </c>
      <c r="D127" s="33">
        <f>COUNTIF('PF176'!AA10:AA185,"TDM_TX_SCK[0] (0)*")</f>
        <v>0</v>
      </c>
      <c r="E127" s="33">
        <f>COUNTIF('PF176'!AA10:AA185,"TDM_TX_SCK[1] (0)*")</f>
        <v>0</v>
      </c>
    </row>
    <row r="128" spans="2:5" x14ac:dyDescent="0.55000000000000004">
      <c r="B128" s="161"/>
      <c r="C128" s="33" t="s">
        <v>1138</v>
      </c>
      <c r="D128" s="33">
        <f>COUNTIF('PF176'!AA10:AA185,"TDM_TX_SCK[0] (1)*")</f>
        <v>0</v>
      </c>
      <c r="E128" s="33">
        <f>COUNTIF('PF176'!AA10:AA185,"TDM_TX_SCK[1] (1)*")</f>
        <v>0</v>
      </c>
    </row>
    <row r="129" spans="2:5" x14ac:dyDescent="0.55000000000000004">
      <c r="B129" s="161"/>
      <c r="C129" s="33" t="s">
        <v>1139</v>
      </c>
      <c r="D129" s="33">
        <f>COUNTIF('PF176'!AA10:AA185,"TDM_TX_SD[0] (0)*")</f>
        <v>0</v>
      </c>
      <c r="E129" s="33">
        <f>COUNTIF('PF176'!AA10:AA185,"TDM_TX_SD[1] (0)*")</f>
        <v>0</v>
      </c>
    </row>
    <row r="130" spans="2:5" x14ac:dyDescent="0.55000000000000004">
      <c r="B130" s="141"/>
      <c r="C130" s="33" t="s">
        <v>1140</v>
      </c>
      <c r="D130" s="33">
        <f>COUNTIF('PF176'!AA10:AA185,"TDM_TX_SD[0] (1)*")</f>
        <v>0</v>
      </c>
      <c r="E130" s="33">
        <f>COUNTIF('PF176'!AA10:AA185,"TDM_TX_SD[1] (1)*")</f>
        <v>0</v>
      </c>
    </row>
    <row r="131" spans="2:5" ht="10" customHeight="1" x14ac:dyDescent="0.55000000000000004">
      <c r="B131" s="162"/>
    </row>
    <row r="132" spans="2:5" ht="10" hidden="1" customHeight="1" x14ac:dyDescent="0.55000000000000004">
      <c r="B132" s="162"/>
    </row>
    <row r="133" spans="2:5" ht="10" hidden="1" customHeight="1" x14ac:dyDescent="0.55000000000000004">
      <c r="B133" s="128" t="s">
        <v>1094</v>
      </c>
      <c r="C133" s="129"/>
      <c r="D133" s="32" t="s">
        <v>1095</v>
      </c>
      <c r="E133" s="32" t="s">
        <v>1108</v>
      </c>
    </row>
    <row r="134" spans="2:5" ht="10" hidden="1" customHeight="1" x14ac:dyDescent="0.55000000000000004">
      <c r="B134" s="163"/>
      <c r="C134" s="45">
        <v>0</v>
      </c>
      <c r="D134" s="33">
        <f>D115+D117+D119+D121+D123+D125+D127+D129</f>
        <v>0</v>
      </c>
      <c r="E134" s="33">
        <f>E115+E117+E119+E121+E123+E125+E127+E129</f>
        <v>0</v>
      </c>
    </row>
    <row r="135" spans="2:5" ht="10" hidden="1" customHeight="1" x14ac:dyDescent="0.55000000000000004">
      <c r="B135" s="97"/>
      <c r="C135" s="45">
        <v>1</v>
      </c>
      <c r="D135" s="33">
        <f>D116+D118+D120+D122+D124+D126+D128+D130</f>
        <v>0</v>
      </c>
      <c r="E135" s="33">
        <f>E116+E118+E120+E122+E124+E126+E128+E130</f>
        <v>0</v>
      </c>
    </row>
    <row r="136" spans="2:5" ht="10" hidden="1" customHeight="1" x14ac:dyDescent="0.55000000000000004">
      <c r="B136" s="48" t="s">
        <v>640</v>
      </c>
      <c r="C136" s="48"/>
      <c r="D136" s="42">
        <f>COUNTIF(D134:D135, "&lt;&gt;0")</f>
        <v>0</v>
      </c>
      <c r="E136" s="42">
        <f>COUNTIF(E134:E135, "&lt;&gt;0")</f>
        <v>0</v>
      </c>
    </row>
    <row r="137" spans="2:5" ht="10" hidden="1" customHeight="1" x14ac:dyDescent="0.55000000000000004">
      <c r="B137" s="162"/>
    </row>
    <row r="138" spans="2:5" ht="10" customHeight="1" x14ac:dyDescent="0.55000000000000004">
      <c r="B138" s="162"/>
    </row>
    <row r="139" spans="2:5" ht="10" customHeight="1" x14ac:dyDescent="0.55000000000000004">
      <c r="B139" s="128" t="s">
        <v>1097</v>
      </c>
      <c r="C139" s="129"/>
      <c r="D139" s="32" t="s">
        <v>1105</v>
      </c>
      <c r="E139" s="32" t="s">
        <v>1106</v>
      </c>
    </row>
    <row r="140" spans="2:5" ht="10" customHeight="1" x14ac:dyDescent="0.55000000000000004">
      <c r="B140" s="121" t="s">
        <v>273</v>
      </c>
      <c r="C140" s="33" t="s">
        <v>1143</v>
      </c>
      <c r="D140" s="33">
        <f>COUNTIF('PF176'!AA10:AA185,"PWM_LINE1_P[0] (0)*")</f>
        <v>0</v>
      </c>
      <c r="E140" s="33">
        <f>COUNTIF('PF176'!AA10:AA185,"PWM_LINE1_P[1] (0)*")</f>
        <v>0</v>
      </c>
    </row>
    <row r="141" spans="2:5" ht="10" customHeight="1" x14ac:dyDescent="0.55000000000000004">
      <c r="B141" s="122"/>
      <c r="C141" s="33" t="s">
        <v>1144</v>
      </c>
      <c r="D141" s="33">
        <f>COUNTIF('PF176'!AA10:AA185,"PWM_LINE1_P[0] (1)*")</f>
        <v>0</v>
      </c>
      <c r="E141" s="33">
        <f>COUNTIF('PF176'!AA10:AA185,"PWM_LINE1_P[1] (1)*")</f>
        <v>0</v>
      </c>
    </row>
    <row r="142" spans="2:5" ht="10" customHeight="1" x14ac:dyDescent="0.55000000000000004">
      <c r="B142" s="161"/>
      <c r="C142" s="33" t="s">
        <v>1145</v>
      </c>
      <c r="D142" s="33">
        <f>COUNTIF('PF176'!AA10:AA185,"PWM_LINE1_N[0] (0)*")</f>
        <v>0</v>
      </c>
      <c r="E142" s="33">
        <f>COUNTIF('PF176'!AA10:AA185,"PWM_LINE1_N[1] (0)*")</f>
        <v>0</v>
      </c>
    </row>
    <row r="143" spans="2:5" ht="10" customHeight="1" x14ac:dyDescent="0.55000000000000004">
      <c r="B143" s="161"/>
      <c r="C143" s="33" t="s">
        <v>1146</v>
      </c>
      <c r="D143" s="33">
        <f>COUNTIF('PF176'!AA10:AA185,"PWM_LINE1_N[0] (1)*")</f>
        <v>0</v>
      </c>
      <c r="E143" s="33">
        <f>COUNTIF('PF176'!AA10:AA185,"PWM_LINE1_N[1] (1)*")</f>
        <v>0</v>
      </c>
    </row>
    <row r="144" spans="2:5" ht="10" customHeight="1" x14ac:dyDescent="0.55000000000000004">
      <c r="B144" s="161"/>
      <c r="C144" s="33" t="s">
        <v>1147</v>
      </c>
      <c r="D144" s="33">
        <f>COUNTIF('PF176'!AA10:AA185,"PWM_LINE2_P[0] (0)*")</f>
        <v>0</v>
      </c>
      <c r="E144" s="33">
        <f>COUNTIF('PF176'!AA10:AA185,"PWM_LINE2_P[1] (0)*")</f>
        <v>0</v>
      </c>
    </row>
    <row r="145" spans="2:8" ht="10" customHeight="1" x14ac:dyDescent="0.55000000000000004">
      <c r="B145" s="161"/>
      <c r="C145" s="33" t="s">
        <v>1148</v>
      </c>
      <c r="D145" s="33">
        <f>COUNTIF('PF176'!AA10:AA185,"PWM_LINE2_P[0] (1)*")</f>
        <v>0</v>
      </c>
      <c r="E145" s="33">
        <f>COUNTIF('PF176'!AA10:AA185,"PWM_LINE2_P[1] (1)*")</f>
        <v>0</v>
      </c>
    </row>
    <row r="146" spans="2:8" ht="10" customHeight="1" x14ac:dyDescent="0.55000000000000004">
      <c r="B146" s="161"/>
      <c r="C146" s="33" t="s">
        <v>1149</v>
      </c>
      <c r="D146" s="33">
        <f>COUNTIF('PF176'!AA10:AA185,"PWM_LINE2_N[0] (0)*")</f>
        <v>0</v>
      </c>
      <c r="E146" s="33">
        <f>COUNTIF('PF176'!AA10:AA185,"PWM_LINE2_N[1] (0)*")</f>
        <v>0</v>
      </c>
    </row>
    <row r="147" spans="2:8" ht="10" customHeight="1" x14ac:dyDescent="0.55000000000000004">
      <c r="B147" s="161"/>
      <c r="C147" s="33" t="s">
        <v>1150</v>
      </c>
      <c r="D147" s="33">
        <f>COUNTIF('PF176'!AA10:AA185,"PWM_LINE2_N[0] (1)*")</f>
        <v>0</v>
      </c>
      <c r="E147" s="33">
        <f>COUNTIF('PF176'!AA10:AA186,"PWM_LINE2_N[1] (1)*")</f>
        <v>0</v>
      </c>
    </row>
    <row r="148" spans="2:8" ht="10" customHeight="1" x14ac:dyDescent="0.55000000000000004">
      <c r="B148" s="161"/>
      <c r="C148" s="33" t="s">
        <v>1141</v>
      </c>
      <c r="D148" s="33">
        <f>COUNTIF('PF176'!AA10:AA185,"PWM_MCK[0] (0)*")</f>
        <v>0</v>
      </c>
      <c r="E148" s="33">
        <f>COUNTIF('PF176'!AA10:AA185,"PWM_MCK[1] (0)*")</f>
        <v>0</v>
      </c>
    </row>
    <row r="149" spans="2:8" ht="10" customHeight="1" x14ac:dyDescent="0.55000000000000004">
      <c r="B149" s="141"/>
      <c r="C149" s="33" t="s">
        <v>1142</v>
      </c>
      <c r="D149" s="33">
        <f>COUNTIF('PF176'!AA10:AA185,"PWM_MCK[0] (1)*")</f>
        <v>0</v>
      </c>
      <c r="E149" s="33">
        <f>COUNTIF('PF176'!AA10:AA185,"PWM_MCK[1] (1)*")</f>
        <v>0</v>
      </c>
    </row>
    <row r="150" spans="2:8" ht="10" customHeight="1" x14ac:dyDescent="0.55000000000000004">
      <c r="B150" s="162"/>
    </row>
    <row r="151" spans="2:8" ht="10" hidden="1" customHeight="1" x14ac:dyDescent="0.55000000000000004">
      <c r="B151" s="162"/>
    </row>
    <row r="152" spans="2:8" ht="10" hidden="1" customHeight="1" x14ac:dyDescent="0.55000000000000004">
      <c r="B152" s="128" t="s">
        <v>1097</v>
      </c>
      <c r="C152" s="129"/>
      <c r="D152" s="32" t="s">
        <v>1105</v>
      </c>
      <c r="E152" s="32" t="s">
        <v>1106</v>
      </c>
    </row>
    <row r="153" spans="2:8" ht="10" hidden="1" customHeight="1" x14ac:dyDescent="0.55000000000000004">
      <c r="B153" s="163"/>
      <c r="C153" s="45">
        <v>0</v>
      </c>
      <c r="D153" s="33">
        <f>D140+D142+D144+D146+D148</f>
        <v>0</v>
      </c>
      <c r="E153" s="33">
        <f>E140+E142+E144+E146+E148</f>
        <v>0</v>
      </c>
    </row>
    <row r="154" spans="2:8" ht="10" hidden="1" customHeight="1" x14ac:dyDescent="0.55000000000000004">
      <c r="B154" s="97"/>
      <c r="C154" s="45">
        <v>1</v>
      </c>
      <c r="D154" s="33">
        <f>D141+D143+D145+D147+D149</f>
        <v>0</v>
      </c>
      <c r="E154" s="33">
        <f>E141+E143+E145+E147+E149</f>
        <v>0</v>
      </c>
    </row>
    <row r="155" spans="2:8" ht="10" hidden="1" customHeight="1" x14ac:dyDescent="0.55000000000000004">
      <c r="B155" s="48" t="s">
        <v>640</v>
      </c>
      <c r="C155" s="48"/>
      <c r="D155" s="42">
        <f>COUNTIF(D153:D154, "&lt;&gt;0")</f>
        <v>0</v>
      </c>
      <c r="E155" s="42">
        <f>COUNTIF(E153:E154, "&lt;&gt;0")</f>
        <v>0</v>
      </c>
    </row>
    <row r="156" spans="2:8" ht="10" hidden="1" customHeight="1" x14ac:dyDescent="0.55000000000000004">
      <c r="B156" s="162"/>
    </row>
    <row r="157" spans="2:8" ht="10" customHeight="1" x14ac:dyDescent="0.55000000000000004">
      <c r="B157" s="162"/>
    </row>
    <row r="158" spans="2:8" ht="10" customHeight="1" x14ac:dyDescent="0.55000000000000004">
      <c r="B158" s="128" t="s">
        <v>1098</v>
      </c>
      <c r="C158" s="129"/>
      <c r="D158" s="32" t="s">
        <v>1099</v>
      </c>
      <c r="E158" s="32" t="s">
        <v>1100</v>
      </c>
      <c r="F158" s="32" t="s">
        <v>1101</v>
      </c>
      <c r="G158" s="32" t="s">
        <v>1102</v>
      </c>
      <c r="H158" s="32" t="s">
        <v>1103</v>
      </c>
    </row>
    <row r="159" spans="2:8" ht="10" customHeight="1" x14ac:dyDescent="0.55000000000000004">
      <c r="B159" s="121" t="s">
        <v>273</v>
      </c>
      <c r="C159" s="33" t="s">
        <v>1151</v>
      </c>
      <c r="D159" s="33">
        <f>COUNTIF('PF176'!AA10:AA185,"SG_AMPL[0] (0)")</f>
        <v>0</v>
      </c>
      <c r="E159" s="33">
        <f>COUNTIF('PF176'!AA10:AA185,"SG_AMPL[1] (0)")</f>
        <v>0</v>
      </c>
      <c r="F159" s="33">
        <f>COUNTIF('PF176'!AA10:AA185,"SG_AMPL[2] (0)")</f>
        <v>0</v>
      </c>
      <c r="G159" s="33">
        <f>COUNTIF('PF176'!AA10:AA185,"SG_AMPL[3] (0)")</f>
        <v>0</v>
      </c>
      <c r="H159" s="33">
        <f>COUNTIF('PF176'!AA10:AA185,"SG_AMPL[4] (0)")</f>
        <v>0</v>
      </c>
    </row>
    <row r="160" spans="2:8" ht="10" customHeight="1" x14ac:dyDescent="0.55000000000000004">
      <c r="B160" s="122"/>
      <c r="C160" s="33" t="s">
        <v>1152</v>
      </c>
      <c r="D160" s="33">
        <f>COUNTIF('PF176'!AA10:AA185,"SG_AMPL[0] (1)")</f>
        <v>0</v>
      </c>
      <c r="E160" s="33">
        <f>COUNTIF('PF176'!AA10:AA185,"SG_AMPL[1] (1)")</f>
        <v>0</v>
      </c>
      <c r="F160" s="33">
        <f>COUNTIF('PF176'!AA10:AA185,"SG_AMPL[2] (1)")</f>
        <v>0</v>
      </c>
      <c r="G160" s="33">
        <f>COUNTIF('PF176'!AA10:AA185,"SG_AMPL[3] (1)")</f>
        <v>0</v>
      </c>
      <c r="H160" s="33">
        <f>COUNTIF('PF176'!AA10:AA185,"SG_AMPL[4] (1)")</f>
        <v>0</v>
      </c>
    </row>
    <row r="161" spans="2:8" ht="10" customHeight="1" x14ac:dyDescent="0.55000000000000004">
      <c r="B161" s="122"/>
      <c r="C161" s="33" t="s">
        <v>1153</v>
      </c>
      <c r="D161" s="33">
        <f>COUNTIF('PF176'!AA10:AA185,"SG_AMPL[0] (2)")</f>
        <v>0</v>
      </c>
      <c r="E161" s="33">
        <f>COUNTIF('PF176'!AA10:AA185,"SG_AMPL[1] (2)")</f>
        <v>0</v>
      </c>
      <c r="F161" s="33">
        <f>COUNTIF('PF176'!AA10:AA185,"SG_AMPL[2] (2)")</f>
        <v>0</v>
      </c>
      <c r="G161" s="33">
        <f>COUNTIF('PF176'!AA10:AA185,"SG_AMPL[3] (2)")</f>
        <v>0</v>
      </c>
      <c r="H161" s="33">
        <f>COUNTIF('PF176'!AA10:AA185,"SG_AMPL[4] (2)")</f>
        <v>0</v>
      </c>
    </row>
    <row r="162" spans="2:8" ht="10" customHeight="1" x14ac:dyDescent="0.55000000000000004">
      <c r="B162" s="161"/>
      <c r="C162" s="33" t="s">
        <v>1141</v>
      </c>
      <c r="D162" s="33">
        <f>COUNTIF('PF176'!AA10:AA185,"SG_MCK[0] (0)")</f>
        <v>0</v>
      </c>
      <c r="E162" s="33">
        <f>COUNTIF('PF176'!AA10:AA185,"SG_MCK[1] (0)")</f>
        <v>0</v>
      </c>
      <c r="F162" s="33">
        <f>COUNTIF('PF176'!AA10:AA185,"SG_MCK[2] (0)")</f>
        <v>0</v>
      </c>
      <c r="G162" s="33">
        <f>COUNTIF('PF176'!AA10:AA185,"SG_MCK[3] (0)")</f>
        <v>0</v>
      </c>
      <c r="H162" s="33">
        <f>COUNTIF('PF176'!AA10:AA185,"SG_MCK[4] (0)")</f>
        <v>0</v>
      </c>
    </row>
    <row r="163" spans="2:8" ht="10" customHeight="1" x14ac:dyDescent="0.55000000000000004">
      <c r="B163" s="161"/>
      <c r="C163" s="33" t="s">
        <v>1154</v>
      </c>
      <c r="D163" s="33">
        <f>COUNTIF('PF176'!AA10:AA185,"SG_MCK[0] (1)")</f>
        <v>0</v>
      </c>
      <c r="E163" s="33">
        <f>COUNTIF('PF176'!AA10:AA185,"SG_MCK[1] (1)")</f>
        <v>0</v>
      </c>
      <c r="F163" s="33">
        <f>COUNTIF('PF176'!AA10:AA185,"SG_MCK[2] (1)")</f>
        <v>0</v>
      </c>
      <c r="G163" s="33">
        <f>COUNTIF('PF176'!AA10:AA185,"SG_MCK[3] (1)")</f>
        <v>0</v>
      </c>
      <c r="H163" s="33">
        <f>COUNTIF('PF176'!AA10:AA185,"SG_MCK[4] (1)")</f>
        <v>0</v>
      </c>
    </row>
    <row r="164" spans="2:8" ht="10" customHeight="1" x14ac:dyDescent="0.55000000000000004">
      <c r="B164" s="161"/>
      <c r="C164" s="33" t="s">
        <v>1155</v>
      </c>
      <c r="D164" s="33">
        <f>COUNTIF('PF176'!AA10:AA185,"SG_MCK[0] (2)")</f>
        <v>0</v>
      </c>
      <c r="E164" s="33">
        <f>COUNTIF('PF176'!AA10:AA185,"SG_MCK[1] (2)")</f>
        <v>0</v>
      </c>
      <c r="F164" s="33">
        <f>COUNTIF('PF176'!AA10:AA185,"SG_MCK[2] (2)")</f>
        <v>0</v>
      </c>
      <c r="G164" s="33">
        <f>COUNTIF('PF176'!AA10:AA185,"SG_MCK[3] (2)")</f>
        <v>0</v>
      </c>
      <c r="H164" s="33">
        <f>COUNTIF('PF176'!AA10:AA185,"SG_MCK[4] (2)")</f>
        <v>0</v>
      </c>
    </row>
    <row r="165" spans="2:8" ht="10" customHeight="1" x14ac:dyDescent="0.55000000000000004">
      <c r="B165" s="161"/>
      <c r="C165" s="33" t="s">
        <v>1156</v>
      </c>
      <c r="D165" s="33">
        <f>COUNTIF('PF176'!AA10:AA185,"SG_TONE[0] (0)")</f>
        <v>0</v>
      </c>
      <c r="E165" s="33">
        <f>COUNTIF('PF176'!AA10:AA185,"SG_TONE[1] (0)")</f>
        <v>0</v>
      </c>
      <c r="F165" s="33">
        <f>COUNTIF('PF176'!AA10:AA185,"SG_TONE[2] (0)")</f>
        <v>0</v>
      </c>
      <c r="G165" s="33">
        <f>COUNTIF('PF176'!AA10:AA185,"SG_TONE[3] (0)")</f>
        <v>0</v>
      </c>
      <c r="H165" s="33">
        <f>COUNTIF('PF176'!AA10:AA185,"SG_TONE[4] (0)")</f>
        <v>0</v>
      </c>
    </row>
    <row r="166" spans="2:8" ht="10" customHeight="1" x14ac:dyDescent="0.55000000000000004">
      <c r="B166" s="161"/>
      <c r="C166" s="33" t="s">
        <v>1157</v>
      </c>
      <c r="D166" s="33">
        <f>COUNTIF('PF176'!AA10:AA185,"SG_TONE[0] (1)")</f>
        <v>0</v>
      </c>
      <c r="E166" s="33">
        <f>COUNTIF('PF176'!AA10:AA185,"SG_TONE[1] (1)")</f>
        <v>0</v>
      </c>
      <c r="F166" s="33">
        <f>COUNTIF('PF176'!AA10:AA185,"SG_TONE[2] (1)")</f>
        <v>0</v>
      </c>
      <c r="G166" s="33">
        <f>COUNTIF('PF176'!AA10:AA185,"SG_TONE[3] (1)")</f>
        <v>0</v>
      </c>
      <c r="H166" s="33">
        <f>COUNTIF('PF176'!AA10:AA185,"SG_TONE[4] (1)")</f>
        <v>0</v>
      </c>
    </row>
    <row r="167" spans="2:8" ht="10" customHeight="1" x14ac:dyDescent="0.55000000000000004">
      <c r="B167" s="141"/>
      <c r="C167" s="33" t="s">
        <v>1158</v>
      </c>
      <c r="D167" s="33">
        <f>COUNTIF('PF176'!AA10:AA185,"SG_TONE[0] (2)")</f>
        <v>0</v>
      </c>
      <c r="E167" s="33">
        <f>COUNTIF('PF176'!AA10:AA185,"SG_TONE[1] (2)")</f>
        <v>0</v>
      </c>
      <c r="F167" s="33">
        <f>COUNTIF('PF176'!AA10:AA185,"SG_TONE[2] (2)")</f>
        <v>0</v>
      </c>
      <c r="G167" s="33">
        <f>COUNTIF('PF176'!AA10:AA185,"SG_TONE[3] (2)")</f>
        <v>0</v>
      </c>
      <c r="H167" s="33">
        <f>COUNTIF('PF176'!AA10:AA185,"SG_TONE[4] (2)")</f>
        <v>0</v>
      </c>
    </row>
    <row r="168" spans="2:8" ht="10" customHeight="1" x14ac:dyDescent="0.55000000000000004">
      <c r="B168" s="162"/>
    </row>
    <row r="169" spans="2:8" ht="10" hidden="1" customHeight="1" x14ac:dyDescent="0.55000000000000004">
      <c r="B169" s="162"/>
    </row>
    <row r="170" spans="2:8" ht="10" hidden="1" customHeight="1" x14ac:dyDescent="0.55000000000000004">
      <c r="B170" s="128" t="s">
        <v>1098</v>
      </c>
      <c r="C170" s="129"/>
      <c r="D170" s="32" t="s">
        <v>1099</v>
      </c>
      <c r="E170" s="32" t="s">
        <v>1100</v>
      </c>
      <c r="F170" s="32" t="s">
        <v>1101</v>
      </c>
      <c r="G170" s="32" t="s">
        <v>1102</v>
      </c>
      <c r="H170" s="32" t="s">
        <v>1103</v>
      </c>
    </row>
    <row r="171" spans="2:8" ht="10" hidden="1" customHeight="1" x14ac:dyDescent="0.55000000000000004">
      <c r="B171" s="163"/>
      <c r="C171" s="45">
        <v>0</v>
      </c>
      <c r="D171" s="33">
        <f>D159+D162+D165</f>
        <v>0</v>
      </c>
      <c r="E171" s="33">
        <f t="shared" ref="E171:H173" si="13">E159+E162+E165</f>
        <v>0</v>
      </c>
      <c r="F171" s="33">
        <f t="shared" si="13"/>
        <v>0</v>
      </c>
      <c r="G171" s="33">
        <f t="shared" si="13"/>
        <v>0</v>
      </c>
      <c r="H171" s="33">
        <f t="shared" si="13"/>
        <v>0</v>
      </c>
    </row>
    <row r="172" spans="2:8" ht="10" hidden="1" customHeight="1" x14ac:dyDescent="0.55000000000000004">
      <c r="B172" s="164"/>
      <c r="C172" s="45">
        <v>1</v>
      </c>
      <c r="D172" s="33">
        <f>D160+D163+D166</f>
        <v>0</v>
      </c>
      <c r="E172" s="33">
        <f t="shared" si="13"/>
        <v>0</v>
      </c>
      <c r="F172" s="33">
        <f t="shared" si="13"/>
        <v>0</v>
      </c>
      <c r="G172" s="33">
        <f t="shared" si="13"/>
        <v>0</v>
      </c>
      <c r="H172" s="33">
        <f t="shared" si="13"/>
        <v>0</v>
      </c>
    </row>
    <row r="173" spans="2:8" ht="10" hidden="1" customHeight="1" x14ac:dyDescent="0.55000000000000004">
      <c r="B173" s="97"/>
      <c r="C173" s="45">
        <v>2</v>
      </c>
      <c r="D173" s="33">
        <f>D161+D164+D167</f>
        <v>0</v>
      </c>
      <c r="E173" s="33">
        <f t="shared" si="13"/>
        <v>0</v>
      </c>
      <c r="F173" s="33">
        <f t="shared" si="13"/>
        <v>0</v>
      </c>
      <c r="G173" s="33">
        <f t="shared" si="13"/>
        <v>0</v>
      </c>
      <c r="H173" s="33">
        <f t="shared" si="13"/>
        <v>0</v>
      </c>
    </row>
    <row r="174" spans="2:8" ht="10" hidden="1" customHeight="1" x14ac:dyDescent="0.55000000000000004">
      <c r="B174" s="48" t="s">
        <v>640</v>
      </c>
      <c r="C174" s="48"/>
      <c r="D174" s="42">
        <f>COUNTIF(D171:D173, "&lt;&gt;0")</f>
        <v>0</v>
      </c>
      <c r="E174" s="42">
        <f t="shared" ref="E174:H174" si="14">COUNTIF(E171:E173, "&lt;&gt;0")</f>
        <v>0</v>
      </c>
      <c r="F174" s="42">
        <f t="shared" si="14"/>
        <v>0</v>
      </c>
      <c r="G174" s="42">
        <f t="shared" si="14"/>
        <v>0</v>
      </c>
      <c r="H174" s="42">
        <f t="shared" si="14"/>
        <v>0</v>
      </c>
    </row>
    <row r="175" spans="2:8" ht="10" hidden="1" customHeight="1" x14ac:dyDescent="0.55000000000000004">
      <c r="B175" s="162"/>
    </row>
    <row r="177" spans="2:21" ht="14.5" x14ac:dyDescent="0.35">
      <c r="B177" s="159" t="s">
        <v>653</v>
      </c>
      <c r="C177" s="159"/>
      <c r="D177" s="159"/>
      <c r="E177" s="159"/>
      <c r="F177" s="159"/>
      <c r="G177" s="159"/>
      <c r="H177" s="159"/>
      <c r="I177" s="159"/>
      <c r="J177" s="159"/>
      <c r="K177" s="159"/>
      <c r="L177" s="159"/>
      <c r="M177" s="159"/>
      <c r="N177" s="159"/>
      <c r="O177" s="159"/>
      <c r="P177" s="159"/>
      <c r="Q177" s="159"/>
      <c r="R177" s="159"/>
      <c r="S177" s="159"/>
      <c r="T177" s="159"/>
      <c r="U177" s="159"/>
    </row>
    <row r="178" spans="2:21" ht="172" customHeight="1" x14ac:dyDescent="0.55000000000000004">
      <c r="B178" s="160" t="s">
        <v>654</v>
      </c>
      <c r="C178" s="160"/>
      <c r="D178" s="160"/>
      <c r="E178" s="160"/>
      <c r="F178" s="160"/>
      <c r="G178" s="160"/>
      <c r="H178" s="160"/>
      <c r="I178" s="160"/>
      <c r="J178" s="160"/>
      <c r="K178" s="160"/>
      <c r="L178" s="160"/>
      <c r="M178" s="160"/>
      <c r="N178" s="160"/>
      <c r="O178" s="160"/>
      <c r="P178" s="160"/>
      <c r="Q178" s="160"/>
      <c r="R178" s="160"/>
      <c r="S178" s="160"/>
      <c r="T178" s="160"/>
      <c r="U178" s="160"/>
    </row>
  </sheetData>
  <sheetProtection algorithmName="SHA-512" hashValue="BZW4QQwPfDadWujrJpeUIUIK1c4IV1z5FyYnkgP4Gofq8Vb0A+GHLBvgy3A1xuvdUUvYC4KUPXaIoX5BLgGH9A==" saltValue="plb81mCZr3OFa/d6xTr06Q==" spinCount="100000" sheet="1" objects="1" scenarios="1" formatCells="0" formatColumns="0" formatRows="0" insertColumns="0" insertRows="0" insertHyperlinks="0" deleteColumns="0" deleteRows="0" selectLockedCells="1" sort="0" autoFilter="0" pivotTables="0"/>
  <mergeCells count="38">
    <mergeCell ref="B178:U178"/>
    <mergeCell ref="B72:B73"/>
    <mergeCell ref="B75:C75"/>
    <mergeCell ref="B76:B77"/>
    <mergeCell ref="B66:C66"/>
    <mergeCell ref="B67:B68"/>
    <mergeCell ref="B109:B111"/>
    <mergeCell ref="B81:C81"/>
    <mergeCell ref="B82:B105"/>
    <mergeCell ref="B71:C71"/>
    <mergeCell ref="B159:B167"/>
    <mergeCell ref="B170:C170"/>
    <mergeCell ref="B38:B45"/>
    <mergeCell ref="B24:B37"/>
    <mergeCell ref="B46:B49"/>
    <mergeCell ref="B62:C62"/>
    <mergeCell ref="B177:U177"/>
    <mergeCell ref="B7:C7"/>
    <mergeCell ref="B8:B9"/>
    <mergeCell ref="B11:C11"/>
    <mergeCell ref="B12:B13"/>
    <mergeCell ref="B16:C16"/>
    <mergeCell ref="B17:B19"/>
    <mergeCell ref="B22:C22"/>
    <mergeCell ref="B63:C63"/>
    <mergeCell ref="B158:C158"/>
    <mergeCell ref="B114:C114"/>
    <mergeCell ref="B139:C139"/>
    <mergeCell ref="B115:B130"/>
    <mergeCell ref="B133:C133"/>
    <mergeCell ref="B140:B149"/>
    <mergeCell ref="B152:C152"/>
    <mergeCell ref="B108:C108"/>
    <mergeCell ref="B52:B53"/>
    <mergeCell ref="B54:B55"/>
    <mergeCell ref="B56:B57"/>
    <mergeCell ref="B23:C23"/>
    <mergeCell ref="B61:C61"/>
  </mergeCells>
  <phoneticPr fontId="3"/>
  <conditionalFormatting sqref="D8:E9">
    <cfRule type="cellIs" dxfId="159" priority="488" operator="greaterThanOrEqual">
      <formula>2</formula>
    </cfRule>
    <cfRule type="cellIs" dxfId="158" priority="493" operator="notEqual">
      <formula>0</formula>
    </cfRule>
  </conditionalFormatting>
  <conditionalFormatting sqref="D12:E13 D14:F14">
    <cfRule type="cellIs" dxfId="157" priority="487" operator="greaterThanOrEqual">
      <formula>2</formula>
    </cfRule>
    <cfRule type="cellIs" dxfId="156" priority="492" operator="notEqual">
      <formula>0</formula>
    </cfRule>
  </conditionalFormatting>
  <conditionalFormatting sqref="D17:E19">
    <cfRule type="cellIs" dxfId="155" priority="328" operator="greaterThanOrEqual">
      <formula>2</formula>
    </cfRule>
    <cfRule type="cellIs" dxfId="154" priority="329" operator="notEqual">
      <formula>0</formula>
    </cfRule>
  </conditionalFormatting>
  <conditionalFormatting sqref="D82:E105 F136:G157">
    <cfRule type="cellIs" dxfId="153" priority="485" operator="greaterThanOrEqual">
      <formula>2</formula>
    </cfRule>
    <cfRule type="cellIs" dxfId="152" priority="515" operator="notEqual">
      <formula>0</formula>
    </cfRule>
  </conditionalFormatting>
  <conditionalFormatting sqref="D109:E111">
    <cfRule type="cellIs" dxfId="151" priority="320" operator="greaterThanOrEqual">
      <formula>2</formula>
    </cfRule>
    <cfRule type="cellIs" dxfId="150" priority="321" operator="notEqual">
      <formula>0</formula>
    </cfRule>
  </conditionalFormatting>
  <conditionalFormatting sqref="D115:E132">
    <cfRule type="cellIs" dxfId="149" priority="180" operator="greaterThanOrEqual">
      <formula>2</formula>
    </cfRule>
    <cfRule type="cellIs" dxfId="148" priority="181" operator="notEqual">
      <formula>0</formula>
    </cfRule>
  </conditionalFormatting>
  <conditionalFormatting sqref="D134:E135">
    <cfRule type="cellIs" dxfId="147" priority="182" operator="greaterThanOrEqual">
      <formula>2</formula>
    </cfRule>
    <cfRule type="cellIs" dxfId="146" priority="183" operator="notEqual">
      <formula>0</formula>
    </cfRule>
  </conditionalFormatting>
  <conditionalFormatting sqref="D137:E138">
    <cfRule type="cellIs" dxfId="145" priority="62" operator="greaterThanOrEqual">
      <formula>2</formula>
    </cfRule>
    <cfRule type="cellIs" dxfId="144" priority="63" operator="notEqual">
      <formula>0</formula>
    </cfRule>
  </conditionalFormatting>
  <conditionalFormatting sqref="D140:E151">
    <cfRule type="cellIs" dxfId="143" priority="160" operator="greaterThanOrEqual">
      <formula>2</formula>
    </cfRule>
    <cfRule type="cellIs" dxfId="142" priority="161" operator="notEqual">
      <formula>0</formula>
    </cfRule>
  </conditionalFormatting>
  <conditionalFormatting sqref="D153:E154">
    <cfRule type="cellIs" dxfId="141" priority="60" operator="greaterThanOrEqual">
      <formula>2</formula>
    </cfRule>
    <cfRule type="cellIs" dxfId="140" priority="61" operator="notEqual">
      <formula>0</formula>
    </cfRule>
  </conditionalFormatting>
  <conditionalFormatting sqref="D156:E157">
    <cfRule type="cellIs" dxfId="139" priority="58" operator="greaterThanOrEqual">
      <formula>2</formula>
    </cfRule>
    <cfRule type="cellIs" dxfId="138" priority="59" operator="notEqual">
      <formula>0</formula>
    </cfRule>
  </conditionalFormatting>
  <conditionalFormatting sqref="D175:G175">
    <cfRule type="cellIs" dxfId="137" priority="276" operator="greaterThanOrEqual">
      <formula>2</formula>
    </cfRule>
    <cfRule type="cellIs" dxfId="136" priority="277" operator="notEqual">
      <formula>0</formula>
    </cfRule>
  </conditionalFormatting>
  <conditionalFormatting sqref="D159:H169">
    <cfRule type="cellIs" dxfId="135" priority="94" operator="greaterThanOrEqual">
      <formula>2</formula>
    </cfRule>
    <cfRule type="cellIs" dxfId="134" priority="95" operator="notEqual">
      <formula>0</formula>
    </cfRule>
  </conditionalFormatting>
  <conditionalFormatting sqref="D171:H173">
    <cfRule type="cellIs" dxfId="133" priority="54" operator="greaterThanOrEqual">
      <formula>2</formula>
    </cfRule>
    <cfRule type="cellIs" dxfId="132" priority="55" operator="notEqual">
      <formula>0</formula>
    </cfRule>
  </conditionalFormatting>
  <conditionalFormatting sqref="D20:K20">
    <cfRule type="cellIs" dxfId="131" priority="486" operator="greaterThanOrEqual">
      <formula>2</formula>
    </cfRule>
    <cfRule type="cellIs" dxfId="130" priority="500" operator="notEqual">
      <formula>0</formula>
    </cfRule>
  </conditionalFormatting>
  <conditionalFormatting sqref="D50:K50">
    <cfRule type="cellIs" dxfId="129" priority="364" operator="greaterThanOrEqual">
      <formula>2</formula>
    </cfRule>
    <cfRule type="cellIs" dxfId="128" priority="365" operator="notEqual">
      <formula>0</formula>
    </cfRule>
  </conditionalFormatting>
  <conditionalFormatting sqref="D24:O49">
    <cfRule type="cellIs" dxfId="127" priority="292" operator="greaterThanOrEqual">
      <formula>2</formula>
    </cfRule>
    <cfRule type="cellIs" dxfId="126" priority="293" operator="notEqual">
      <formula>0</formula>
    </cfRule>
  </conditionalFormatting>
  <conditionalFormatting sqref="D72:O73">
    <cfRule type="cellIs" dxfId="125" priority="481" operator="greaterThanOrEqual">
      <formula>2</formula>
    </cfRule>
    <cfRule type="cellIs" dxfId="124" priority="482" operator="notEqual">
      <formula>0</formula>
    </cfRule>
  </conditionalFormatting>
  <conditionalFormatting sqref="D76:S78">
    <cfRule type="cellIs" dxfId="123" priority="308" operator="greaterThanOrEqual">
      <formula>2</formula>
    </cfRule>
    <cfRule type="cellIs" dxfId="122" priority="309" operator="notEqual">
      <formula>0</formula>
    </cfRule>
  </conditionalFormatting>
  <conditionalFormatting sqref="D67:AK69">
    <cfRule type="cellIs" dxfId="121" priority="324" operator="greaterThanOrEqual">
      <formula>2</formula>
    </cfRule>
    <cfRule type="cellIs" dxfId="120" priority="325" operator="notEqual">
      <formula>0</formula>
    </cfRule>
  </conditionalFormatting>
  <conditionalFormatting sqref="F23">
    <cfRule type="expression" dxfId="119" priority="10">
      <formula>F63&gt;=1</formula>
    </cfRule>
    <cfRule type="expression" dxfId="118" priority="22">
      <formula>F62&gt;=1</formula>
    </cfRule>
    <cfRule type="expression" dxfId="117" priority="36">
      <formula>F61&gt;=1</formula>
    </cfRule>
  </conditionalFormatting>
  <conditionalFormatting sqref="D23">
    <cfRule type="expression" dxfId="116" priority="12">
      <formula>D63&gt;=1</formula>
    </cfRule>
    <cfRule type="expression" dxfId="115" priority="24">
      <formula>D62&gt;=1</formula>
    </cfRule>
    <cfRule type="expression" dxfId="114" priority="35">
      <formula>D61&gt;=1</formula>
    </cfRule>
  </conditionalFormatting>
  <conditionalFormatting sqref="E23">
    <cfRule type="expression" dxfId="113" priority="11">
      <formula>E63&gt;=1</formula>
    </cfRule>
    <cfRule type="expression" dxfId="112" priority="23">
      <formula>E62&gt;=1</formula>
    </cfRule>
    <cfRule type="expression" dxfId="111" priority="34">
      <formula>E61&gt;=1</formula>
    </cfRule>
  </conditionalFormatting>
  <conditionalFormatting sqref="G23">
    <cfRule type="expression" dxfId="110" priority="9">
      <formula>G63&gt;=1</formula>
    </cfRule>
    <cfRule type="expression" dxfId="109" priority="21">
      <formula>G62&gt;=1</formula>
    </cfRule>
    <cfRule type="expression" dxfId="108" priority="33">
      <formula>G61&gt;=1</formula>
    </cfRule>
  </conditionalFormatting>
  <conditionalFormatting sqref="H23">
    <cfRule type="expression" dxfId="107" priority="8">
      <formula>H63&gt;=1</formula>
    </cfRule>
    <cfRule type="expression" dxfId="106" priority="20">
      <formula>H62&gt;=1</formula>
    </cfRule>
    <cfRule type="expression" dxfId="105" priority="32">
      <formula>H61&gt;=1</formula>
    </cfRule>
  </conditionalFormatting>
  <conditionalFormatting sqref="I23">
    <cfRule type="expression" dxfId="104" priority="7">
      <formula>I63&gt;=1</formula>
    </cfRule>
    <cfRule type="expression" dxfId="103" priority="19">
      <formula>I62&gt;=1</formula>
    </cfRule>
    <cfRule type="expression" dxfId="102" priority="31">
      <formula>I61&gt;=1</formula>
    </cfRule>
  </conditionalFormatting>
  <conditionalFormatting sqref="J23">
    <cfRule type="expression" dxfId="101" priority="6">
      <formula>J63&gt;=1</formula>
    </cfRule>
    <cfRule type="expression" dxfId="100" priority="18">
      <formula>J62&gt;=1</formula>
    </cfRule>
    <cfRule type="expression" dxfId="99" priority="30">
      <formula>J61&gt;=1</formula>
    </cfRule>
  </conditionalFormatting>
  <conditionalFormatting sqref="K23">
    <cfRule type="expression" dxfId="98" priority="5">
      <formula>K63&gt;=1</formula>
    </cfRule>
    <cfRule type="expression" dxfId="97" priority="17">
      <formula>K62&gt;=1</formula>
    </cfRule>
    <cfRule type="expression" dxfId="96" priority="29">
      <formula>K61&gt;=1</formula>
    </cfRule>
  </conditionalFormatting>
  <conditionalFormatting sqref="L23">
    <cfRule type="expression" dxfId="95" priority="4">
      <formula>L63&gt;=1</formula>
    </cfRule>
    <cfRule type="expression" dxfId="94" priority="16">
      <formula>L62&gt;=1</formula>
    </cfRule>
    <cfRule type="expression" dxfId="93" priority="28">
      <formula>L61&gt;=1</formula>
    </cfRule>
  </conditionalFormatting>
  <conditionalFormatting sqref="M23">
    <cfRule type="expression" dxfId="92" priority="3">
      <formula>M63&gt;=1</formula>
    </cfRule>
    <cfRule type="expression" dxfId="91" priority="15">
      <formula>M62&gt;=1</formula>
    </cfRule>
    <cfRule type="expression" dxfId="90" priority="27">
      <formula>M61&gt;=1</formula>
    </cfRule>
  </conditionalFormatting>
  <conditionalFormatting sqref="N23">
    <cfRule type="expression" dxfId="89" priority="2">
      <formula>N63&gt;=1</formula>
    </cfRule>
    <cfRule type="expression" dxfId="88" priority="14">
      <formula>N62&gt;=1</formula>
    </cfRule>
    <cfRule type="expression" dxfId="87" priority="26">
      <formula>N61&gt;=1</formula>
    </cfRule>
  </conditionalFormatting>
  <conditionalFormatting sqref="O23">
    <cfRule type="expression" dxfId="86" priority="1">
      <formula>O63&gt;=1</formula>
    </cfRule>
    <cfRule type="expression" dxfId="85" priority="13">
      <formula>O62&gt;=1</formula>
    </cfRule>
    <cfRule type="expression" dxfId="84" priority="25">
      <formula>O61&gt;=1</formula>
    </cfRule>
  </conditionalFormatting>
  <pageMargins left="0.7" right="0.7" top="0.75" bottom="0.75" header="0.3" footer="0.3"/>
  <pageSetup paperSize="9" orientation="portrait" r:id="rId1"/>
  <ignoredErrors>
    <ignoredError sqref="D14:O15 D79:O80 D8:E13 G8:O9 D20:O21 M16:O19 D16:E19 D22:K22 D106:O107 D81:E105 G81:O105 D112:O112 D108:E111 H108:O111 D51:K52 L52:O52 D56:O57 D64:O66 D70:O74 D67:AK69 D140:E149 D115:E130 D159:H167 D134:E136 D171:H174 D153:E155 D76:S78 D24:O50 D53:O53 D54:O55 D58:O63 G11:O13 G10:I10 K10:O10" unlocked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54D2D-73A4-4B3F-ACEF-84CC6AD76492}">
  <dimension ref="A1:BC68"/>
  <sheetViews>
    <sheetView zoomScale="64" zoomScaleNormal="64" workbookViewId="0">
      <selection activeCell="AZ7" sqref="AZ7"/>
    </sheetView>
  </sheetViews>
  <sheetFormatPr defaultColWidth="8.83203125" defaultRowHeight="10" x14ac:dyDescent="0.55000000000000004"/>
  <cols>
    <col min="1" max="2" width="8.83203125" style="30"/>
    <col min="3" max="3" width="18.58203125" style="30" customWidth="1"/>
    <col min="4" max="5" width="3.33203125" style="30" customWidth="1"/>
    <col min="6" max="49" width="2.33203125" style="30" customWidth="1"/>
    <col min="50" max="51" width="3.33203125" style="30" customWidth="1"/>
    <col min="52" max="52" width="18.58203125" style="30" customWidth="1"/>
    <col min="53" max="55" width="8.58203125" style="30" customWidth="1"/>
    <col min="56" max="277" width="8.83203125" style="30"/>
    <col min="278" max="278" width="14.33203125" style="30" customWidth="1"/>
    <col min="279" max="280" width="3.33203125" style="30" customWidth="1"/>
    <col min="281" max="305" width="2.4140625" style="30" customWidth="1"/>
    <col min="306" max="307" width="3.33203125" style="30" customWidth="1"/>
    <col min="308" max="308" width="14.33203125" style="30" customWidth="1"/>
    <col min="309" max="533" width="8.83203125" style="30"/>
    <col min="534" max="534" width="14.33203125" style="30" customWidth="1"/>
    <col min="535" max="536" width="3.33203125" style="30" customWidth="1"/>
    <col min="537" max="561" width="2.4140625" style="30" customWidth="1"/>
    <col min="562" max="563" width="3.33203125" style="30" customWidth="1"/>
    <col min="564" max="564" width="14.33203125" style="30" customWidth="1"/>
    <col min="565" max="789" width="8.83203125" style="30"/>
    <col min="790" max="790" width="14.33203125" style="30" customWidth="1"/>
    <col min="791" max="792" width="3.33203125" style="30" customWidth="1"/>
    <col min="793" max="817" width="2.4140625" style="30" customWidth="1"/>
    <col min="818" max="819" width="3.33203125" style="30" customWidth="1"/>
    <col min="820" max="820" width="14.33203125" style="30" customWidth="1"/>
    <col min="821" max="1045" width="8.83203125" style="30"/>
    <col min="1046" max="1046" width="14.33203125" style="30" customWidth="1"/>
    <col min="1047" max="1048" width="3.33203125" style="30" customWidth="1"/>
    <col min="1049" max="1073" width="2.4140625" style="30" customWidth="1"/>
    <col min="1074" max="1075" width="3.33203125" style="30" customWidth="1"/>
    <col min="1076" max="1076" width="14.33203125" style="30" customWidth="1"/>
    <col min="1077" max="1301" width="8.83203125" style="30"/>
    <col min="1302" max="1302" width="14.33203125" style="30" customWidth="1"/>
    <col min="1303" max="1304" width="3.33203125" style="30" customWidth="1"/>
    <col min="1305" max="1329" width="2.4140625" style="30" customWidth="1"/>
    <col min="1330" max="1331" width="3.33203125" style="30" customWidth="1"/>
    <col min="1332" max="1332" width="14.33203125" style="30" customWidth="1"/>
    <col min="1333" max="1557" width="8.83203125" style="30"/>
    <col min="1558" max="1558" width="14.33203125" style="30" customWidth="1"/>
    <col min="1559" max="1560" width="3.33203125" style="30" customWidth="1"/>
    <col min="1561" max="1585" width="2.4140625" style="30" customWidth="1"/>
    <col min="1586" max="1587" width="3.33203125" style="30" customWidth="1"/>
    <col min="1588" max="1588" width="14.33203125" style="30" customWidth="1"/>
    <col min="1589" max="1813" width="8.83203125" style="30"/>
    <col min="1814" max="1814" width="14.33203125" style="30" customWidth="1"/>
    <col min="1815" max="1816" width="3.33203125" style="30" customWidth="1"/>
    <col min="1817" max="1841" width="2.4140625" style="30" customWidth="1"/>
    <col min="1842" max="1843" width="3.33203125" style="30" customWidth="1"/>
    <col min="1844" max="1844" width="14.33203125" style="30" customWidth="1"/>
    <col min="1845" max="2069" width="8.83203125" style="30"/>
    <col min="2070" max="2070" width="14.33203125" style="30" customWidth="1"/>
    <col min="2071" max="2072" width="3.33203125" style="30" customWidth="1"/>
    <col min="2073" max="2097" width="2.4140625" style="30" customWidth="1"/>
    <col min="2098" max="2099" width="3.33203125" style="30" customWidth="1"/>
    <col min="2100" max="2100" width="14.33203125" style="30" customWidth="1"/>
    <col min="2101" max="2325" width="8.83203125" style="30"/>
    <col min="2326" max="2326" width="14.33203125" style="30" customWidth="1"/>
    <col min="2327" max="2328" width="3.33203125" style="30" customWidth="1"/>
    <col min="2329" max="2353" width="2.4140625" style="30" customWidth="1"/>
    <col min="2354" max="2355" width="3.33203125" style="30" customWidth="1"/>
    <col min="2356" max="2356" width="14.33203125" style="30" customWidth="1"/>
    <col min="2357" max="2581" width="8.83203125" style="30"/>
    <col min="2582" max="2582" width="14.33203125" style="30" customWidth="1"/>
    <col min="2583" max="2584" width="3.33203125" style="30" customWidth="1"/>
    <col min="2585" max="2609" width="2.4140625" style="30" customWidth="1"/>
    <col min="2610" max="2611" width="3.33203125" style="30" customWidth="1"/>
    <col min="2612" max="2612" width="14.33203125" style="30" customWidth="1"/>
    <col min="2613" max="2837" width="8.83203125" style="30"/>
    <col min="2838" max="2838" width="14.33203125" style="30" customWidth="1"/>
    <col min="2839" max="2840" width="3.33203125" style="30" customWidth="1"/>
    <col min="2841" max="2865" width="2.4140625" style="30" customWidth="1"/>
    <col min="2866" max="2867" width="3.33203125" style="30" customWidth="1"/>
    <col min="2868" max="2868" width="14.33203125" style="30" customWidth="1"/>
    <col min="2869" max="3093" width="8.83203125" style="30"/>
    <col min="3094" max="3094" width="14.33203125" style="30" customWidth="1"/>
    <col min="3095" max="3096" width="3.33203125" style="30" customWidth="1"/>
    <col min="3097" max="3121" width="2.4140625" style="30" customWidth="1"/>
    <col min="3122" max="3123" width="3.33203125" style="30" customWidth="1"/>
    <col min="3124" max="3124" width="14.33203125" style="30" customWidth="1"/>
    <col min="3125" max="3349" width="8.83203125" style="30"/>
    <col min="3350" max="3350" width="14.33203125" style="30" customWidth="1"/>
    <col min="3351" max="3352" width="3.33203125" style="30" customWidth="1"/>
    <col min="3353" max="3377" width="2.4140625" style="30" customWidth="1"/>
    <col min="3378" max="3379" width="3.33203125" style="30" customWidth="1"/>
    <col min="3380" max="3380" width="14.33203125" style="30" customWidth="1"/>
    <col min="3381" max="3605" width="8.83203125" style="30"/>
    <col min="3606" max="3606" width="14.33203125" style="30" customWidth="1"/>
    <col min="3607" max="3608" width="3.33203125" style="30" customWidth="1"/>
    <col min="3609" max="3633" width="2.4140625" style="30" customWidth="1"/>
    <col min="3634" max="3635" width="3.33203125" style="30" customWidth="1"/>
    <col min="3636" max="3636" width="14.33203125" style="30" customWidth="1"/>
    <col min="3637" max="3861" width="8.83203125" style="30"/>
    <col min="3862" max="3862" width="14.33203125" style="30" customWidth="1"/>
    <col min="3863" max="3864" width="3.33203125" style="30" customWidth="1"/>
    <col min="3865" max="3889" width="2.4140625" style="30" customWidth="1"/>
    <col min="3890" max="3891" width="3.33203125" style="30" customWidth="1"/>
    <col min="3892" max="3892" width="14.33203125" style="30" customWidth="1"/>
    <col min="3893" max="4117" width="8.83203125" style="30"/>
    <col min="4118" max="4118" width="14.33203125" style="30" customWidth="1"/>
    <col min="4119" max="4120" width="3.33203125" style="30" customWidth="1"/>
    <col min="4121" max="4145" width="2.4140625" style="30" customWidth="1"/>
    <col min="4146" max="4147" width="3.33203125" style="30" customWidth="1"/>
    <col min="4148" max="4148" width="14.33203125" style="30" customWidth="1"/>
    <col min="4149" max="4373" width="8.83203125" style="30"/>
    <col min="4374" max="4374" width="14.33203125" style="30" customWidth="1"/>
    <col min="4375" max="4376" width="3.33203125" style="30" customWidth="1"/>
    <col min="4377" max="4401" width="2.4140625" style="30" customWidth="1"/>
    <col min="4402" max="4403" width="3.33203125" style="30" customWidth="1"/>
    <col min="4404" max="4404" width="14.33203125" style="30" customWidth="1"/>
    <col min="4405" max="4629" width="8.83203125" style="30"/>
    <col min="4630" max="4630" width="14.33203125" style="30" customWidth="1"/>
    <col min="4631" max="4632" width="3.33203125" style="30" customWidth="1"/>
    <col min="4633" max="4657" width="2.4140625" style="30" customWidth="1"/>
    <col min="4658" max="4659" width="3.33203125" style="30" customWidth="1"/>
    <col min="4660" max="4660" width="14.33203125" style="30" customWidth="1"/>
    <col min="4661" max="4885" width="8.83203125" style="30"/>
    <col min="4886" max="4886" width="14.33203125" style="30" customWidth="1"/>
    <col min="4887" max="4888" width="3.33203125" style="30" customWidth="1"/>
    <col min="4889" max="4913" width="2.4140625" style="30" customWidth="1"/>
    <col min="4914" max="4915" width="3.33203125" style="30" customWidth="1"/>
    <col min="4916" max="4916" width="14.33203125" style="30" customWidth="1"/>
    <col min="4917" max="5141" width="8.83203125" style="30"/>
    <col min="5142" max="5142" width="14.33203125" style="30" customWidth="1"/>
    <col min="5143" max="5144" width="3.33203125" style="30" customWidth="1"/>
    <col min="5145" max="5169" width="2.4140625" style="30" customWidth="1"/>
    <col min="5170" max="5171" width="3.33203125" style="30" customWidth="1"/>
    <col min="5172" max="5172" width="14.33203125" style="30" customWidth="1"/>
    <col min="5173" max="5397" width="8.83203125" style="30"/>
    <col min="5398" max="5398" width="14.33203125" style="30" customWidth="1"/>
    <col min="5399" max="5400" width="3.33203125" style="30" customWidth="1"/>
    <col min="5401" max="5425" width="2.4140625" style="30" customWidth="1"/>
    <col min="5426" max="5427" width="3.33203125" style="30" customWidth="1"/>
    <col min="5428" max="5428" width="14.33203125" style="30" customWidth="1"/>
    <col min="5429" max="5653" width="8.83203125" style="30"/>
    <col min="5654" max="5654" width="14.33203125" style="30" customWidth="1"/>
    <col min="5655" max="5656" width="3.33203125" style="30" customWidth="1"/>
    <col min="5657" max="5681" width="2.4140625" style="30" customWidth="1"/>
    <col min="5682" max="5683" width="3.33203125" style="30" customWidth="1"/>
    <col min="5684" max="5684" width="14.33203125" style="30" customWidth="1"/>
    <col min="5685" max="5909" width="8.83203125" style="30"/>
    <col min="5910" max="5910" width="14.33203125" style="30" customWidth="1"/>
    <col min="5911" max="5912" width="3.33203125" style="30" customWidth="1"/>
    <col min="5913" max="5937" width="2.4140625" style="30" customWidth="1"/>
    <col min="5938" max="5939" width="3.33203125" style="30" customWidth="1"/>
    <col min="5940" max="5940" width="14.33203125" style="30" customWidth="1"/>
    <col min="5941" max="6165" width="8.83203125" style="30"/>
    <col min="6166" max="6166" width="14.33203125" style="30" customWidth="1"/>
    <col min="6167" max="6168" width="3.33203125" style="30" customWidth="1"/>
    <col min="6169" max="6193" width="2.4140625" style="30" customWidth="1"/>
    <col min="6194" max="6195" width="3.33203125" style="30" customWidth="1"/>
    <col min="6196" max="6196" width="14.33203125" style="30" customWidth="1"/>
    <col min="6197" max="6421" width="8.83203125" style="30"/>
    <col min="6422" max="6422" width="14.33203125" style="30" customWidth="1"/>
    <col min="6423" max="6424" width="3.33203125" style="30" customWidth="1"/>
    <col min="6425" max="6449" width="2.4140625" style="30" customWidth="1"/>
    <col min="6450" max="6451" width="3.33203125" style="30" customWidth="1"/>
    <col min="6452" max="6452" width="14.33203125" style="30" customWidth="1"/>
    <col min="6453" max="6677" width="8.83203125" style="30"/>
    <col min="6678" max="6678" width="14.33203125" style="30" customWidth="1"/>
    <col min="6679" max="6680" width="3.33203125" style="30" customWidth="1"/>
    <col min="6681" max="6705" width="2.4140625" style="30" customWidth="1"/>
    <col min="6706" max="6707" width="3.33203125" style="30" customWidth="1"/>
    <col min="6708" max="6708" width="14.33203125" style="30" customWidth="1"/>
    <col min="6709" max="6933" width="8.83203125" style="30"/>
    <col min="6934" max="6934" width="14.33203125" style="30" customWidth="1"/>
    <col min="6935" max="6936" width="3.33203125" style="30" customWidth="1"/>
    <col min="6937" max="6961" width="2.4140625" style="30" customWidth="1"/>
    <col min="6962" max="6963" width="3.33203125" style="30" customWidth="1"/>
    <col min="6964" max="6964" width="14.33203125" style="30" customWidth="1"/>
    <col min="6965" max="7189" width="8.83203125" style="30"/>
    <col min="7190" max="7190" width="14.33203125" style="30" customWidth="1"/>
    <col min="7191" max="7192" width="3.33203125" style="30" customWidth="1"/>
    <col min="7193" max="7217" width="2.4140625" style="30" customWidth="1"/>
    <col min="7218" max="7219" width="3.33203125" style="30" customWidth="1"/>
    <col min="7220" max="7220" width="14.33203125" style="30" customWidth="1"/>
    <col min="7221" max="7445" width="8.83203125" style="30"/>
    <col min="7446" max="7446" width="14.33203125" style="30" customWidth="1"/>
    <col min="7447" max="7448" width="3.33203125" style="30" customWidth="1"/>
    <col min="7449" max="7473" width="2.4140625" style="30" customWidth="1"/>
    <col min="7474" max="7475" width="3.33203125" style="30" customWidth="1"/>
    <col min="7476" max="7476" width="14.33203125" style="30" customWidth="1"/>
    <col min="7477" max="7701" width="8.83203125" style="30"/>
    <col min="7702" max="7702" width="14.33203125" style="30" customWidth="1"/>
    <col min="7703" max="7704" width="3.33203125" style="30" customWidth="1"/>
    <col min="7705" max="7729" width="2.4140625" style="30" customWidth="1"/>
    <col min="7730" max="7731" width="3.33203125" style="30" customWidth="1"/>
    <col min="7732" max="7732" width="14.33203125" style="30" customWidth="1"/>
    <col min="7733" max="7957" width="8.83203125" style="30"/>
    <col min="7958" max="7958" width="14.33203125" style="30" customWidth="1"/>
    <col min="7959" max="7960" width="3.33203125" style="30" customWidth="1"/>
    <col min="7961" max="7985" width="2.4140625" style="30" customWidth="1"/>
    <col min="7986" max="7987" width="3.33203125" style="30" customWidth="1"/>
    <col min="7988" max="7988" width="14.33203125" style="30" customWidth="1"/>
    <col min="7989" max="8213" width="8.83203125" style="30"/>
    <col min="8214" max="8214" width="14.33203125" style="30" customWidth="1"/>
    <col min="8215" max="8216" width="3.33203125" style="30" customWidth="1"/>
    <col min="8217" max="8241" width="2.4140625" style="30" customWidth="1"/>
    <col min="8242" max="8243" width="3.33203125" style="30" customWidth="1"/>
    <col min="8244" max="8244" width="14.33203125" style="30" customWidth="1"/>
    <col min="8245" max="8469" width="8.83203125" style="30"/>
    <col min="8470" max="8470" width="14.33203125" style="30" customWidth="1"/>
    <col min="8471" max="8472" width="3.33203125" style="30" customWidth="1"/>
    <col min="8473" max="8497" width="2.4140625" style="30" customWidth="1"/>
    <col min="8498" max="8499" width="3.33203125" style="30" customWidth="1"/>
    <col min="8500" max="8500" width="14.33203125" style="30" customWidth="1"/>
    <col min="8501" max="8725" width="8.83203125" style="30"/>
    <col min="8726" max="8726" width="14.33203125" style="30" customWidth="1"/>
    <col min="8727" max="8728" width="3.33203125" style="30" customWidth="1"/>
    <col min="8729" max="8753" width="2.4140625" style="30" customWidth="1"/>
    <col min="8754" max="8755" width="3.33203125" style="30" customWidth="1"/>
    <col min="8756" max="8756" width="14.33203125" style="30" customWidth="1"/>
    <col min="8757" max="8981" width="8.83203125" style="30"/>
    <col min="8982" max="8982" width="14.33203125" style="30" customWidth="1"/>
    <col min="8983" max="8984" width="3.33203125" style="30" customWidth="1"/>
    <col min="8985" max="9009" width="2.4140625" style="30" customWidth="1"/>
    <col min="9010" max="9011" width="3.33203125" style="30" customWidth="1"/>
    <col min="9012" max="9012" width="14.33203125" style="30" customWidth="1"/>
    <col min="9013" max="9237" width="8.83203125" style="30"/>
    <col min="9238" max="9238" width="14.33203125" style="30" customWidth="1"/>
    <col min="9239" max="9240" width="3.33203125" style="30" customWidth="1"/>
    <col min="9241" max="9265" width="2.4140625" style="30" customWidth="1"/>
    <col min="9266" max="9267" width="3.33203125" style="30" customWidth="1"/>
    <col min="9268" max="9268" width="14.33203125" style="30" customWidth="1"/>
    <col min="9269" max="9493" width="8.83203125" style="30"/>
    <col min="9494" max="9494" width="14.33203125" style="30" customWidth="1"/>
    <col min="9495" max="9496" width="3.33203125" style="30" customWidth="1"/>
    <col min="9497" max="9521" width="2.4140625" style="30" customWidth="1"/>
    <col min="9522" max="9523" width="3.33203125" style="30" customWidth="1"/>
    <col min="9524" max="9524" width="14.33203125" style="30" customWidth="1"/>
    <col min="9525" max="9749" width="8.83203125" style="30"/>
    <col min="9750" max="9750" width="14.33203125" style="30" customWidth="1"/>
    <col min="9751" max="9752" width="3.33203125" style="30" customWidth="1"/>
    <col min="9753" max="9777" width="2.4140625" style="30" customWidth="1"/>
    <col min="9778" max="9779" width="3.33203125" style="30" customWidth="1"/>
    <col min="9780" max="9780" width="14.33203125" style="30" customWidth="1"/>
    <col min="9781" max="10005" width="8.83203125" style="30"/>
    <col min="10006" max="10006" width="14.33203125" style="30" customWidth="1"/>
    <col min="10007" max="10008" width="3.33203125" style="30" customWidth="1"/>
    <col min="10009" max="10033" width="2.4140625" style="30" customWidth="1"/>
    <col min="10034" max="10035" width="3.33203125" style="30" customWidth="1"/>
    <col min="10036" max="10036" width="14.33203125" style="30" customWidth="1"/>
    <col min="10037" max="10261" width="8.83203125" style="30"/>
    <col min="10262" max="10262" width="14.33203125" style="30" customWidth="1"/>
    <col min="10263" max="10264" width="3.33203125" style="30" customWidth="1"/>
    <col min="10265" max="10289" width="2.4140625" style="30" customWidth="1"/>
    <col min="10290" max="10291" width="3.33203125" style="30" customWidth="1"/>
    <col min="10292" max="10292" width="14.33203125" style="30" customWidth="1"/>
    <col min="10293" max="10517" width="8.83203125" style="30"/>
    <col min="10518" max="10518" width="14.33203125" style="30" customWidth="1"/>
    <col min="10519" max="10520" width="3.33203125" style="30" customWidth="1"/>
    <col min="10521" max="10545" width="2.4140625" style="30" customWidth="1"/>
    <col min="10546" max="10547" width="3.33203125" style="30" customWidth="1"/>
    <col min="10548" max="10548" width="14.33203125" style="30" customWidth="1"/>
    <col min="10549" max="10773" width="8.83203125" style="30"/>
    <col min="10774" max="10774" width="14.33203125" style="30" customWidth="1"/>
    <col min="10775" max="10776" width="3.33203125" style="30" customWidth="1"/>
    <col min="10777" max="10801" width="2.4140625" style="30" customWidth="1"/>
    <col min="10802" max="10803" width="3.33203125" style="30" customWidth="1"/>
    <col min="10804" max="10804" width="14.33203125" style="30" customWidth="1"/>
    <col min="10805" max="11029" width="8.83203125" style="30"/>
    <col min="11030" max="11030" width="14.33203125" style="30" customWidth="1"/>
    <col min="11031" max="11032" width="3.33203125" style="30" customWidth="1"/>
    <col min="11033" max="11057" width="2.4140625" style="30" customWidth="1"/>
    <col min="11058" max="11059" width="3.33203125" style="30" customWidth="1"/>
    <col min="11060" max="11060" width="14.33203125" style="30" customWidth="1"/>
    <col min="11061" max="11285" width="8.83203125" style="30"/>
    <col min="11286" max="11286" width="14.33203125" style="30" customWidth="1"/>
    <col min="11287" max="11288" width="3.33203125" style="30" customWidth="1"/>
    <col min="11289" max="11313" width="2.4140625" style="30" customWidth="1"/>
    <col min="11314" max="11315" width="3.33203125" style="30" customWidth="1"/>
    <col min="11316" max="11316" width="14.33203125" style="30" customWidth="1"/>
    <col min="11317" max="11541" width="8.83203125" style="30"/>
    <col min="11542" max="11542" width="14.33203125" style="30" customWidth="1"/>
    <col min="11543" max="11544" width="3.33203125" style="30" customWidth="1"/>
    <col min="11545" max="11569" width="2.4140625" style="30" customWidth="1"/>
    <col min="11570" max="11571" width="3.33203125" style="30" customWidth="1"/>
    <col min="11572" max="11572" width="14.33203125" style="30" customWidth="1"/>
    <col min="11573" max="11797" width="8.83203125" style="30"/>
    <col min="11798" max="11798" width="14.33203125" style="30" customWidth="1"/>
    <col min="11799" max="11800" width="3.33203125" style="30" customWidth="1"/>
    <col min="11801" max="11825" width="2.4140625" style="30" customWidth="1"/>
    <col min="11826" max="11827" width="3.33203125" style="30" customWidth="1"/>
    <col min="11828" max="11828" width="14.33203125" style="30" customWidth="1"/>
    <col min="11829" max="12053" width="8.83203125" style="30"/>
    <col min="12054" max="12054" width="14.33203125" style="30" customWidth="1"/>
    <col min="12055" max="12056" width="3.33203125" style="30" customWidth="1"/>
    <col min="12057" max="12081" width="2.4140625" style="30" customWidth="1"/>
    <col min="12082" max="12083" width="3.33203125" style="30" customWidth="1"/>
    <col min="12084" max="12084" width="14.33203125" style="30" customWidth="1"/>
    <col min="12085" max="12309" width="8.83203125" style="30"/>
    <col min="12310" max="12310" width="14.33203125" style="30" customWidth="1"/>
    <col min="12311" max="12312" width="3.33203125" style="30" customWidth="1"/>
    <col min="12313" max="12337" width="2.4140625" style="30" customWidth="1"/>
    <col min="12338" max="12339" width="3.33203125" style="30" customWidth="1"/>
    <col min="12340" max="12340" width="14.33203125" style="30" customWidth="1"/>
    <col min="12341" max="12565" width="8.83203125" style="30"/>
    <col min="12566" max="12566" width="14.33203125" style="30" customWidth="1"/>
    <col min="12567" max="12568" width="3.33203125" style="30" customWidth="1"/>
    <col min="12569" max="12593" width="2.4140625" style="30" customWidth="1"/>
    <col min="12594" max="12595" width="3.33203125" style="30" customWidth="1"/>
    <col min="12596" max="12596" width="14.33203125" style="30" customWidth="1"/>
    <col min="12597" max="12821" width="8.83203125" style="30"/>
    <col min="12822" max="12822" width="14.33203125" style="30" customWidth="1"/>
    <col min="12823" max="12824" width="3.33203125" style="30" customWidth="1"/>
    <col min="12825" max="12849" width="2.4140625" style="30" customWidth="1"/>
    <col min="12850" max="12851" width="3.33203125" style="30" customWidth="1"/>
    <col min="12852" max="12852" width="14.33203125" style="30" customWidth="1"/>
    <col min="12853" max="13077" width="8.83203125" style="30"/>
    <col min="13078" max="13078" width="14.33203125" style="30" customWidth="1"/>
    <col min="13079" max="13080" width="3.33203125" style="30" customWidth="1"/>
    <col min="13081" max="13105" width="2.4140625" style="30" customWidth="1"/>
    <col min="13106" max="13107" width="3.33203125" style="30" customWidth="1"/>
    <col min="13108" max="13108" width="14.33203125" style="30" customWidth="1"/>
    <col min="13109" max="13333" width="8.83203125" style="30"/>
    <col min="13334" max="13334" width="14.33203125" style="30" customWidth="1"/>
    <col min="13335" max="13336" width="3.33203125" style="30" customWidth="1"/>
    <col min="13337" max="13361" width="2.4140625" style="30" customWidth="1"/>
    <col min="13362" max="13363" width="3.33203125" style="30" customWidth="1"/>
    <col min="13364" max="13364" width="14.33203125" style="30" customWidth="1"/>
    <col min="13365" max="13589" width="8.83203125" style="30"/>
    <col min="13590" max="13590" width="14.33203125" style="30" customWidth="1"/>
    <col min="13591" max="13592" width="3.33203125" style="30" customWidth="1"/>
    <col min="13593" max="13617" width="2.4140625" style="30" customWidth="1"/>
    <col min="13618" max="13619" width="3.33203125" style="30" customWidth="1"/>
    <col min="13620" max="13620" width="14.33203125" style="30" customWidth="1"/>
    <col min="13621" max="13845" width="8.83203125" style="30"/>
    <col min="13846" max="13846" width="14.33203125" style="30" customWidth="1"/>
    <col min="13847" max="13848" width="3.33203125" style="30" customWidth="1"/>
    <col min="13849" max="13873" width="2.4140625" style="30" customWidth="1"/>
    <col min="13874" max="13875" width="3.33203125" style="30" customWidth="1"/>
    <col min="13876" max="13876" width="14.33203125" style="30" customWidth="1"/>
    <col min="13877" max="14101" width="8.83203125" style="30"/>
    <col min="14102" max="14102" width="14.33203125" style="30" customWidth="1"/>
    <col min="14103" max="14104" width="3.33203125" style="30" customWidth="1"/>
    <col min="14105" max="14129" width="2.4140625" style="30" customWidth="1"/>
    <col min="14130" max="14131" width="3.33203125" style="30" customWidth="1"/>
    <col min="14132" max="14132" width="14.33203125" style="30" customWidth="1"/>
    <col min="14133" max="14357" width="8.83203125" style="30"/>
    <col min="14358" max="14358" width="14.33203125" style="30" customWidth="1"/>
    <col min="14359" max="14360" width="3.33203125" style="30" customWidth="1"/>
    <col min="14361" max="14385" width="2.4140625" style="30" customWidth="1"/>
    <col min="14386" max="14387" width="3.33203125" style="30" customWidth="1"/>
    <col min="14388" max="14388" width="14.33203125" style="30" customWidth="1"/>
    <col min="14389" max="14613" width="8.83203125" style="30"/>
    <col min="14614" max="14614" width="14.33203125" style="30" customWidth="1"/>
    <col min="14615" max="14616" width="3.33203125" style="30" customWidth="1"/>
    <col min="14617" max="14641" width="2.4140625" style="30" customWidth="1"/>
    <col min="14642" max="14643" width="3.33203125" style="30" customWidth="1"/>
    <col min="14644" max="14644" width="14.33203125" style="30" customWidth="1"/>
    <col min="14645" max="14869" width="8.83203125" style="30"/>
    <col min="14870" max="14870" width="14.33203125" style="30" customWidth="1"/>
    <col min="14871" max="14872" width="3.33203125" style="30" customWidth="1"/>
    <col min="14873" max="14897" width="2.4140625" style="30" customWidth="1"/>
    <col min="14898" max="14899" width="3.33203125" style="30" customWidth="1"/>
    <col min="14900" max="14900" width="14.33203125" style="30" customWidth="1"/>
    <col min="14901" max="15125" width="8.83203125" style="30"/>
    <col min="15126" max="15126" width="14.33203125" style="30" customWidth="1"/>
    <col min="15127" max="15128" width="3.33203125" style="30" customWidth="1"/>
    <col min="15129" max="15153" width="2.4140625" style="30" customWidth="1"/>
    <col min="15154" max="15155" width="3.33203125" style="30" customWidth="1"/>
    <col min="15156" max="15156" width="14.33203125" style="30" customWidth="1"/>
    <col min="15157" max="15381" width="8.83203125" style="30"/>
    <col min="15382" max="15382" width="14.33203125" style="30" customWidth="1"/>
    <col min="15383" max="15384" width="3.33203125" style="30" customWidth="1"/>
    <col min="15385" max="15409" width="2.4140625" style="30" customWidth="1"/>
    <col min="15410" max="15411" width="3.33203125" style="30" customWidth="1"/>
    <col min="15412" max="15412" width="14.33203125" style="30" customWidth="1"/>
    <col min="15413" max="15637" width="8.83203125" style="30"/>
    <col min="15638" max="15638" width="14.33203125" style="30" customWidth="1"/>
    <col min="15639" max="15640" width="3.33203125" style="30" customWidth="1"/>
    <col min="15641" max="15665" width="2.4140625" style="30" customWidth="1"/>
    <col min="15666" max="15667" width="3.33203125" style="30" customWidth="1"/>
    <col min="15668" max="15668" width="14.33203125" style="30" customWidth="1"/>
    <col min="15669" max="15893" width="8.83203125" style="30"/>
    <col min="15894" max="15894" width="14.33203125" style="30" customWidth="1"/>
    <col min="15895" max="15896" width="3.33203125" style="30" customWidth="1"/>
    <col min="15897" max="15921" width="2.4140625" style="30" customWidth="1"/>
    <col min="15922" max="15923" width="3.33203125" style="30" customWidth="1"/>
    <col min="15924" max="15924" width="14.33203125" style="30" customWidth="1"/>
    <col min="15925" max="16149" width="8.83203125" style="30"/>
    <col min="16150" max="16150" width="14.33203125" style="30" customWidth="1"/>
    <col min="16151" max="16152" width="3.33203125" style="30" customWidth="1"/>
    <col min="16153" max="16177" width="2.4140625" style="30" customWidth="1"/>
    <col min="16178" max="16179" width="3.33203125" style="30" customWidth="1"/>
    <col min="16180" max="16180" width="14.33203125" style="30" customWidth="1"/>
    <col min="16181" max="16384" width="8.83203125" style="30"/>
  </cols>
  <sheetData>
    <row r="1" spans="1:55" ht="25" customHeight="1" x14ac:dyDescent="0.55000000000000004">
      <c r="A1" s="29" t="s">
        <v>252</v>
      </c>
      <c r="BA1" s="4"/>
      <c r="BB1" s="4"/>
      <c r="BC1" s="4"/>
    </row>
    <row r="2" spans="1:55" ht="25" customHeight="1" x14ac:dyDescent="0.55000000000000004">
      <c r="A2" s="29"/>
      <c r="BA2" s="4"/>
      <c r="BB2" s="4"/>
      <c r="BC2" s="4"/>
    </row>
    <row r="3" spans="1:55" ht="25" customHeight="1" x14ac:dyDescent="0.55000000000000004">
      <c r="A3" s="29"/>
      <c r="BA3" s="4"/>
      <c r="BB3" s="4"/>
      <c r="BC3" s="4"/>
    </row>
    <row r="4" spans="1:55" ht="25" customHeight="1" x14ac:dyDescent="0.55000000000000004">
      <c r="A4" s="29"/>
      <c r="BA4" s="4"/>
      <c r="BB4" s="4"/>
      <c r="BC4" s="4"/>
    </row>
    <row r="5" spans="1:55" ht="25" customHeight="1" x14ac:dyDescent="0.55000000000000004">
      <c r="A5" s="29"/>
      <c r="BA5" s="4"/>
      <c r="BB5" s="4"/>
      <c r="BC5" s="158" t="s">
        <v>1183</v>
      </c>
    </row>
    <row r="7" spans="1:55" ht="105" customHeight="1" x14ac:dyDescent="0.55000000000000004">
      <c r="F7" s="54" t="str">
        <f>'PF176'!AA185</f>
        <v>VDDIO_HSIO</v>
      </c>
      <c r="G7" s="56" t="str">
        <f>'PF176'!AA184</f>
        <v>VSSIO_SMC</v>
      </c>
      <c r="H7" s="54" t="str">
        <f>'PF176'!AA183</f>
        <v>VDDIO_SMC</v>
      </c>
      <c r="I7" s="55">
        <f>'PF176'!AA182</f>
        <v>0</v>
      </c>
      <c r="J7" s="55">
        <f>'PF176'!AA181</f>
        <v>0</v>
      </c>
      <c r="K7" s="55">
        <f>'PF176'!AA180</f>
        <v>0</v>
      </c>
      <c r="L7" s="55">
        <f>'PF176'!AA179</f>
        <v>0</v>
      </c>
      <c r="M7" s="55">
        <f>'PF176'!AA178</f>
        <v>0</v>
      </c>
      <c r="N7" s="55">
        <f>'PF176'!AA177</f>
        <v>0</v>
      </c>
      <c r="O7" s="55">
        <f>'PF176'!AA176</f>
        <v>0</v>
      </c>
      <c r="P7" s="55">
        <f>'PF176'!AA175</f>
        <v>0</v>
      </c>
      <c r="Q7" s="54" t="str">
        <f>'PF176'!AA174</f>
        <v>VDDIO_SMC</v>
      </c>
      <c r="R7" s="56" t="str">
        <f>'PF176'!AA173</f>
        <v>VSSIO_SMC</v>
      </c>
      <c r="S7" s="55">
        <f>'PF176'!AA172</f>
        <v>0</v>
      </c>
      <c r="T7" s="55">
        <f>'PF176'!AA171</f>
        <v>0</v>
      </c>
      <c r="U7" s="55">
        <f>'PF176'!AA170</f>
        <v>0</v>
      </c>
      <c r="V7" s="55">
        <f>'PF176'!AA169</f>
        <v>0</v>
      </c>
      <c r="W7" s="55">
        <f>'PF176'!AA168</f>
        <v>0</v>
      </c>
      <c r="X7" s="55">
        <f>'PF176'!AA167</f>
        <v>0</v>
      </c>
      <c r="Y7" s="55">
        <f>'PF176'!AA166</f>
        <v>0</v>
      </c>
      <c r="Z7" s="55">
        <f>'PF176'!AA165</f>
        <v>0</v>
      </c>
      <c r="AA7" s="54" t="str">
        <f>'PF176'!AA164</f>
        <v>VDDIO_SMC</v>
      </c>
      <c r="AB7" s="56" t="str">
        <f>'PF176'!AA163</f>
        <v>VSSIO_SMC</v>
      </c>
      <c r="AC7" s="55">
        <f>'PF176'!AA162</f>
        <v>0</v>
      </c>
      <c r="AD7" s="55">
        <f>'PF176'!AA161</f>
        <v>0</v>
      </c>
      <c r="AE7" s="55">
        <f>'PF176'!AA160</f>
        <v>0</v>
      </c>
      <c r="AF7" s="55">
        <f>'PF176'!AA159</f>
        <v>0</v>
      </c>
      <c r="AG7" s="55">
        <f>'PF176'!AA158</f>
        <v>0</v>
      </c>
      <c r="AH7" s="55">
        <f>'PF176'!AA157</f>
        <v>0</v>
      </c>
      <c r="AI7" s="55">
        <f>'PF176'!AA156</f>
        <v>0</v>
      </c>
      <c r="AJ7" s="55">
        <f>'PF176'!AA155</f>
        <v>0</v>
      </c>
      <c r="AK7" s="54" t="str">
        <f>'PF176'!AA154</f>
        <v>VDDIO_SMC</v>
      </c>
      <c r="AL7" s="56" t="str">
        <f>'PF176'!AA153</f>
        <v>VSSIO_SMC</v>
      </c>
      <c r="AM7" s="55">
        <f>'PF176'!AA152</f>
        <v>0</v>
      </c>
      <c r="AN7" s="55">
        <f>'PF176'!AA151</f>
        <v>0</v>
      </c>
      <c r="AO7" s="55">
        <f>'PF176'!AA150</f>
        <v>0</v>
      </c>
      <c r="AP7" s="55">
        <f>'PF176'!AA149</f>
        <v>0</v>
      </c>
      <c r="AQ7" s="55">
        <f>'PF176'!AA148</f>
        <v>0</v>
      </c>
      <c r="AR7" s="55">
        <f>'PF176'!AA147</f>
        <v>0</v>
      </c>
      <c r="AS7" s="55">
        <f>'PF176'!AA146</f>
        <v>0</v>
      </c>
      <c r="AT7" s="55">
        <f>'PF176'!AA145</f>
        <v>0</v>
      </c>
      <c r="AU7" s="55">
        <f>'PF176'!AA144</f>
        <v>0</v>
      </c>
      <c r="AV7" s="55">
        <f>'PF176'!AA143</f>
        <v>0</v>
      </c>
      <c r="AW7" s="56" t="str">
        <f>'PF176'!AA142</f>
        <v>VSSD</v>
      </c>
    </row>
    <row r="8" spans="1:55" ht="15" customHeight="1" x14ac:dyDescent="0.55000000000000004">
      <c r="D8" s="57"/>
      <c r="E8" s="58"/>
      <c r="F8" s="58">
        <v>176</v>
      </c>
      <c r="G8" s="58">
        <v>175</v>
      </c>
      <c r="H8" s="58">
        <v>174</v>
      </c>
      <c r="I8" s="58">
        <v>173</v>
      </c>
      <c r="J8" s="58">
        <v>172</v>
      </c>
      <c r="K8" s="58">
        <v>171</v>
      </c>
      <c r="L8" s="58">
        <v>170</v>
      </c>
      <c r="M8" s="58">
        <v>169</v>
      </c>
      <c r="N8" s="58">
        <v>168</v>
      </c>
      <c r="O8" s="58">
        <v>167</v>
      </c>
      <c r="P8" s="58">
        <v>166</v>
      </c>
      <c r="Q8" s="58">
        <v>165</v>
      </c>
      <c r="R8" s="58">
        <v>164</v>
      </c>
      <c r="S8" s="58">
        <v>163</v>
      </c>
      <c r="T8" s="58">
        <v>162</v>
      </c>
      <c r="U8" s="58">
        <v>161</v>
      </c>
      <c r="V8" s="58">
        <v>160</v>
      </c>
      <c r="W8" s="58">
        <v>159</v>
      </c>
      <c r="X8" s="58">
        <v>158</v>
      </c>
      <c r="Y8" s="58">
        <v>157</v>
      </c>
      <c r="Z8" s="58">
        <v>156</v>
      </c>
      <c r="AA8" s="58">
        <v>155</v>
      </c>
      <c r="AB8" s="58">
        <v>154</v>
      </c>
      <c r="AC8" s="58">
        <v>153</v>
      </c>
      <c r="AD8" s="58">
        <v>152</v>
      </c>
      <c r="AE8" s="58">
        <v>151</v>
      </c>
      <c r="AF8" s="58">
        <v>150</v>
      </c>
      <c r="AG8" s="58">
        <v>149</v>
      </c>
      <c r="AH8" s="58">
        <v>148</v>
      </c>
      <c r="AI8" s="58">
        <v>147</v>
      </c>
      <c r="AJ8" s="58">
        <v>146</v>
      </c>
      <c r="AK8" s="58">
        <v>145</v>
      </c>
      <c r="AL8" s="58">
        <v>144</v>
      </c>
      <c r="AM8" s="58">
        <v>143</v>
      </c>
      <c r="AN8" s="58">
        <v>142</v>
      </c>
      <c r="AO8" s="58">
        <v>141</v>
      </c>
      <c r="AP8" s="58">
        <v>140</v>
      </c>
      <c r="AQ8" s="58">
        <v>139</v>
      </c>
      <c r="AR8" s="58">
        <v>138</v>
      </c>
      <c r="AS8" s="58">
        <v>137</v>
      </c>
      <c r="AT8" s="58">
        <v>136</v>
      </c>
      <c r="AU8" s="58">
        <v>135</v>
      </c>
      <c r="AV8" s="58">
        <v>134</v>
      </c>
      <c r="AW8" s="58">
        <v>133</v>
      </c>
      <c r="AX8" s="58"/>
      <c r="AY8" s="59"/>
    </row>
    <row r="9" spans="1:55" ht="15" customHeight="1" x14ac:dyDescent="0.55000000000000004">
      <c r="D9" s="60"/>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c r="AT9" s="61"/>
      <c r="AU9" s="61"/>
      <c r="AV9" s="61"/>
      <c r="AW9" s="61"/>
      <c r="AX9" s="61"/>
      <c r="AY9" s="62"/>
    </row>
    <row r="10" spans="1:55" ht="15" customHeight="1" x14ac:dyDescent="0.55000000000000004">
      <c r="B10" s="34"/>
      <c r="C10" s="63" t="str">
        <f>'PF176'!AA10</f>
        <v>VSSIO_HSIO</v>
      </c>
      <c r="D10" s="60">
        <v>1</v>
      </c>
      <c r="E10" s="61"/>
      <c r="F10" s="142" t="s">
        <v>248</v>
      </c>
      <c r="G10" s="142"/>
      <c r="H10" s="142"/>
      <c r="I10" s="142"/>
      <c r="J10" s="142"/>
      <c r="K10" s="142"/>
      <c r="L10" s="142"/>
      <c r="M10" s="142"/>
      <c r="N10" s="142"/>
      <c r="O10" s="142"/>
      <c r="P10" s="142"/>
      <c r="Q10" s="142"/>
      <c r="R10" s="142"/>
      <c r="S10" s="142"/>
      <c r="T10" s="142"/>
      <c r="U10" s="142"/>
      <c r="V10" s="142"/>
      <c r="W10" s="142"/>
      <c r="X10" s="142"/>
      <c r="Y10" s="142"/>
      <c r="Z10" s="142"/>
      <c r="AA10" s="142"/>
      <c r="AB10" s="142"/>
      <c r="AC10" s="142"/>
      <c r="AD10" s="142"/>
      <c r="AE10" s="142"/>
      <c r="AF10" s="142"/>
      <c r="AG10" s="142"/>
      <c r="AH10" s="142"/>
      <c r="AI10" s="142"/>
      <c r="AJ10" s="142"/>
      <c r="AK10" s="142"/>
      <c r="AL10" s="142"/>
      <c r="AM10" s="142"/>
      <c r="AN10" s="142"/>
      <c r="AO10" s="142"/>
      <c r="AP10" s="142"/>
      <c r="AQ10" s="142"/>
      <c r="AR10" s="142"/>
      <c r="AS10" s="142"/>
      <c r="AT10" s="142"/>
      <c r="AU10" s="142"/>
      <c r="AV10" s="142"/>
      <c r="AW10" s="142"/>
      <c r="AX10" s="61"/>
      <c r="AY10" s="62">
        <v>132</v>
      </c>
      <c r="AZ10" s="64" t="str">
        <f>'PF176'!AA141</f>
        <v>VDDIO_GPIO</v>
      </c>
    </row>
    <row r="11" spans="1:55" ht="15" customHeight="1" x14ac:dyDescent="0.55000000000000004">
      <c r="B11" s="34"/>
      <c r="C11" s="65">
        <f>'PF176'!AA11</f>
        <v>0</v>
      </c>
      <c r="D11" s="60">
        <v>2</v>
      </c>
      <c r="E11" s="61"/>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142"/>
      <c r="AF11" s="142"/>
      <c r="AG11" s="142"/>
      <c r="AH11" s="142"/>
      <c r="AI11" s="142"/>
      <c r="AJ11" s="142"/>
      <c r="AK11" s="142"/>
      <c r="AL11" s="142"/>
      <c r="AM11" s="142"/>
      <c r="AN11" s="142"/>
      <c r="AO11" s="142"/>
      <c r="AP11" s="142"/>
      <c r="AQ11" s="142"/>
      <c r="AR11" s="142"/>
      <c r="AS11" s="142"/>
      <c r="AT11" s="142"/>
      <c r="AU11" s="142"/>
      <c r="AV11" s="142"/>
      <c r="AW11" s="142"/>
      <c r="AX11" s="61"/>
      <c r="AY11" s="62">
        <v>131</v>
      </c>
      <c r="AZ11" s="68" t="str">
        <f>'PF176'!AA140</f>
        <v>VSSA_ADC</v>
      </c>
    </row>
    <row r="12" spans="1:55" ht="15" customHeight="1" x14ac:dyDescent="0.55000000000000004">
      <c r="B12" s="34"/>
      <c r="C12" s="65">
        <f>'PF176'!AA12</f>
        <v>0</v>
      </c>
      <c r="D12" s="60">
        <v>3</v>
      </c>
      <c r="E12" s="61"/>
      <c r="F12" s="142"/>
      <c r="G12" s="142"/>
      <c r="H12" s="142"/>
      <c r="I12" s="142"/>
      <c r="J12" s="142"/>
      <c r="K12" s="142"/>
      <c r="L12" s="142"/>
      <c r="M12" s="142"/>
      <c r="N12" s="142"/>
      <c r="O12" s="142"/>
      <c r="P12" s="142"/>
      <c r="Q12" s="142"/>
      <c r="R12" s="142"/>
      <c r="S12" s="142"/>
      <c r="T12" s="142"/>
      <c r="U12" s="142"/>
      <c r="V12" s="142"/>
      <c r="W12" s="142"/>
      <c r="X12" s="142"/>
      <c r="Y12" s="142"/>
      <c r="Z12" s="142"/>
      <c r="AA12" s="142"/>
      <c r="AB12" s="142"/>
      <c r="AC12" s="142"/>
      <c r="AD12" s="142"/>
      <c r="AE12" s="142"/>
      <c r="AF12" s="142"/>
      <c r="AG12" s="142"/>
      <c r="AH12" s="142"/>
      <c r="AI12" s="142"/>
      <c r="AJ12" s="142"/>
      <c r="AK12" s="142"/>
      <c r="AL12" s="142"/>
      <c r="AM12" s="142"/>
      <c r="AN12" s="142"/>
      <c r="AO12" s="142"/>
      <c r="AP12" s="142"/>
      <c r="AQ12" s="142"/>
      <c r="AR12" s="142"/>
      <c r="AS12" s="142"/>
      <c r="AT12" s="142"/>
      <c r="AU12" s="142"/>
      <c r="AV12" s="142"/>
      <c r="AW12" s="142"/>
      <c r="AX12" s="61"/>
      <c r="AY12" s="62">
        <v>130</v>
      </c>
      <c r="AZ12" s="64" t="str">
        <f>'PF176'!AA139</f>
        <v>VDDA_ADC</v>
      </c>
    </row>
    <row r="13" spans="1:55" ht="15" customHeight="1" x14ac:dyDescent="0.55000000000000004">
      <c r="B13" s="34"/>
      <c r="C13" s="65">
        <f>'PF176'!AA13</f>
        <v>0</v>
      </c>
      <c r="D13" s="60">
        <v>4</v>
      </c>
      <c r="E13" s="61"/>
      <c r="F13" s="142"/>
      <c r="G13" s="142"/>
      <c r="H13" s="142"/>
      <c r="I13" s="142"/>
      <c r="J13" s="142"/>
      <c r="K13" s="142"/>
      <c r="L13" s="142"/>
      <c r="M13" s="142"/>
      <c r="N13" s="142"/>
      <c r="O13" s="142"/>
      <c r="P13" s="142"/>
      <c r="Q13" s="142"/>
      <c r="R13" s="142"/>
      <c r="S13" s="142"/>
      <c r="T13" s="142"/>
      <c r="U13" s="142"/>
      <c r="V13" s="142"/>
      <c r="W13" s="142"/>
      <c r="X13" s="142"/>
      <c r="Y13" s="142"/>
      <c r="Z13" s="142"/>
      <c r="AA13" s="142"/>
      <c r="AB13" s="142"/>
      <c r="AC13" s="142"/>
      <c r="AD13" s="142"/>
      <c r="AE13" s="142"/>
      <c r="AF13" s="142"/>
      <c r="AG13" s="142"/>
      <c r="AH13" s="142"/>
      <c r="AI13" s="142"/>
      <c r="AJ13" s="142"/>
      <c r="AK13" s="142"/>
      <c r="AL13" s="142"/>
      <c r="AM13" s="142"/>
      <c r="AN13" s="142"/>
      <c r="AO13" s="142"/>
      <c r="AP13" s="142"/>
      <c r="AQ13" s="142"/>
      <c r="AR13" s="142"/>
      <c r="AS13" s="142"/>
      <c r="AT13" s="142"/>
      <c r="AU13" s="142"/>
      <c r="AV13" s="142"/>
      <c r="AW13" s="142"/>
      <c r="AX13" s="61"/>
      <c r="AY13" s="62">
        <v>129</v>
      </c>
      <c r="AZ13" s="78" t="str">
        <f>'PF176'!AA138</f>
        <v>VREFH</v>
      </c>
    </row>
    <row r="14" spans="1:55" ht="15" customHeight="1" x14ac:dyDescent="0.55000000000000004">
      <c r="B14" s="34"/>
      <c r="C14" s="65">
        <f>'PF176'!AA14</f>
        <v>0</v>
      </c>
      <c r="D14" s="60">
        <v>5</v>
      </c>
      <c r="E14" s="61"/>
      <c r="F14" s="142"/>
      <c r="G14" s="142"/>
      <c r="H14" s="142"/>
      <c r="I14" s="142"/>
      <c r="J14" s="142"/>
      <c r="K14" s="142"/>
      <c r="L14" s="142"/>
      <c r="M14" s="142"/>
      <c r="N14" s="142"/>
      <c r="O14" s="142"/>
      <c r="P14" s="142"/>
      <c r="Q14" s="142"/>
      <c r="R14" s="142"/>
      <c r="S14" s="142"/>
      <c r="T14" s="142"/>
      <c r="U14" s="142"/>
      <c r="V14" s="142"/>
      <c r="W14" s="142"/>
      <c r="X14" s="142"/>
      <c r="Y14" s="142"/>
      <c r="Z14" s="142"/>
      <c r="AA14" s="142"/>
      <c r="AB14" s="142"/>
      <c r="AC14" s="142"/>
      <c r="AD14" s="142"/>
      <c r="AE14" s="142"/>
      <c r="AF14" s="142"/>
      <c r="AG14" s="142"/>
      <c r="AH14" s="142"/>
      <c r="AI14" s="142"/>
      <c r="AJ14" s="142"/>
      <c r="AK14" s="142"/>
      <c r="AL14" s="142"/>
      <c r="AM14" s="142"/>
      <c r="AN14" s="142"/>
      <c r="AO14" s="142"/>
      <c r="AP14" s="142"/>
      <c r="AQ14" s="142"/>
      <c r="AR14" s="142"/>
      <c r="AS14" s="142"/>
      <c r="AT14" s="142"/>
      <c r="AU14" s="142"/>
      <c r="AV14" s="142"/>
      <c r="AW14" s="142"/>
      <c r="AX14" s="61"/>
      <c r="AY14" s="62">
        <v>128</v>
      </c>
      <c r="AZ14" s="66">
        <f>'PF176'!AA137</f>
        <v>0</v>
      </c>
    </row>
    <row r="15" spans="1:55" ht="15" customHeight="1" x14ac:dyDescent="0.55000000000000004">
      <c r="B15" s="34"/>
      <c r="C15" s="63" t="str">
        <f>'PF176'!AA15</f>
        <v>VSSIO_HSIO</v>
      </c>
      <c r="D15" s="60">
        <v>6</v>
      </c>
      <c r="E15" s="61"/>
      <c r="F15" s="142"/>
      <c r="G15" s="142"/>
      <c r="H15" s="142"/>
      <c r="I15" s="142"/>
      <c r="J15" s="142"/>
      <c r="K15" s="142"/>
      <c r="L15" s="142"/>
      <c r="M15" s="142"/>
      <c r="N15" s="142"/>
      <c r="O15" s="142"/>
      <c r="P15" s="142"/>
      <c r="Q15" s="142"/>
      <c r="R15" s="142"/>
      <c r="S15" s="142"/>
      <c r="T15" s="142"/>
      <c r="U15" s="142"/>
      <c r="V15" s="142"/>
      <c r="W15" s="142"/>
      <c r="X15" s="142"/>
      <c r="Y15" s="142"/>
      <c r="Z15" s="142"/>
      <c r="AA15" s="142"/>
      <c r="AB15" s="142"/>
      <c r="AC15" s="142"/>
      <c r="AD15" s="142"/>
      <c r="AE15" s="142"/>
      <c r="AF15" s="142"/>
      <c r="AG15" s="142"/>
      <c r="AH15" s="142"/>
      <c r="AI15" s="142"/>
      <c r="AJ15" s="142"/>
      <c r="AK15" s="142"/>
      <c r="AL15" s="142"/>
      <c r="AM15" s="142"/>
      <c r="AN15" s="142"/>
      <c r="AO15" s="142"/>
      <c r="AP15" s="142"/>
      <c r="AQ15" s="142"/>
      <c r="AR15" s="142"/>
      <c r="AS15" s="142"/>
      <c r="AT15" s="142"/>
      <c r="AU15" s="142"/>
      <c r="AV15" s="142"/>
      <c r="AW15" s="142"/>
      <c r="AX15" s="61"/>
      <c r="AY15" s="62">
        <v>127</v>
      </c>
      <c r="AZ15" s="66">
        <f>'PF176'!AA136</f>
        <v>0</v>
      </c>
    </row>
    <row r="16" spans="1:55" ht="15" customHeight="1" x14ac:dyDescent="0.55000000000000004">
      <c r="B16" s="34"/>
      <c r="C16" s="67" t="str">
        <f>'PF176'!AA16</f>
        <v>VDDIO_HSIO</v>
      </c>
      <c r="D16" s="60">
        <v>7</v>
      </c>
      <c r="E16" s="61"/>
      <c r="F16" s="142"/>
      <c r="G16" s="142"/>
      <c r="H16" s="142"/>
      <c r="I16" s="142"/>
      <c r="J16" s="142"/>
      <c r="K16" s="142"/>
      <c r="L16" s="142"/>
      <c r="M16" s="142"/>
      <c r="N16" s="142"/>
      <c r="O16" s="142"/>
      <c r="P16" s="142"/>
      <c r="Q16" s="142"/>
      <c r="R16" s="142"/>
      <c r="S16" s="142"/>
      <c r="T16" s="142"/>
      <c r="U16" s="142"/>
      <c r="V16" s="142"/>
      <c r="W16" s="142"/>
      <c r="X16" s="142"/>
      <c r="Y16" s="142"/>
      <c r="Z16" s="142"/>
      <c r="AA16" s="142"/>
      <c r="AB16" s="142"/>
      <c r="AC16" s="142"/>
      <c r="AD16" s="142"/>
      <c r="AE16" s="142"/>
      <c r="AF16" s="142"/>
      <c r="AG16" s="142"/>
      <c r="AH16" s="142"/>
      <c r="AI16" s="142"/>
      <c r="AJ16" s="142"/>
      <c r="AK16" s="142"/>
      <c r="AL16" s="142"/>
      <c r="AM16" s="142"/>
      <c r="AN16" s="142"/>
      <c r="AO16" s="142"/>
      <c r="AP16" s="142"/>
      <c r="AQ16" s="142"/>
      <c r="AR16" s="142"/>
      <c r="AS16" s="142"/>
      <c r="AT16" s="142"/>
      <c r="AU16" s="142"/>
      <c r="AV16" s="142"/>
      <c r="AW16" s="142"/>
      <c r="AX16" s="61"/>
      <c r="AY16" s="62">
        <v>126</v>
      </c>
      <c r="AZ16" s="66">
        <f>'PF176'!AA135</f>
        <v>0</v>
      </c>
    </row>
    <row r="17" spans="2:52" ht="15" customHeight="1" x14ac:dyDescent="0.55000000000000004">
      <c r="B17" s="34"/>
      <c r="C17" s="65">
        <f>'PF176'!AA17</f>
        <v>0</v>
      </c>
      <c r="D17" s="60">
        <v>8</v>
      </c>
      <c r="E17" s="61"/>
      <c r="F17" s="142"/>
      <c r="G17" s="142"/>
      <c r="H17" s="142"/>
      <c r="I17" s="142"/>
      <c r="J17" s="142"/>
      <c r="K17" s="142"/>
      <c r="L17" s="142"/>
      <c r="M17" s="142"/>
      <c r="N17" s="142"/>
      <c r="O17" s="142"/>
      <c r="P17" s="142"/>
      <c r="Q17" s="142"/>
      <c r="R17" s="142"/>
      <c r="S17" s="142"/>
      <c r="T17" s="142"/>
      <c r="U17" s="142"/>
      <c r="V17" s="142"/>
      <c r="W17" s="142"/>
      <c r="X17" s="142"/>
      <c r="Y17" s="142"/>
      <c r="Z17" s="142"/>
      <c r="AA17" s="142"/>
      <c r="AB17" s="142"/>
      <c r="AC17" s="142"/>
      <c r="AD17" s="142"/>
      <c r="AE17" s="142"/>
      <c r="AF17" s="142"/>
      <c r="AG17" s="142"/>
      <c r="AH17" s="142"/>
      <c r="AI17" s="142"/>
      <c r="AJ17" s="142"/>
      <c r="AK17" s="142"/>
      <c r="AL17" s="142"/>
      <c r="AM17" s="142"/>
      <c r="AN17" s="142"/>
      <c r="AO17" s="142"/>
      <c r="AP17" s="142"/>
      <c r="AQ17" s="142"/>
      <c r="AR17" s="142"/>
      <c r="AS17" s="142"/>
      <c r="AT17" s="142"/>
      <c r="AU17" s="142"/>
      <c r="AV17" s="142"/>
      <c r="AW17" s="142"/>
      <c r="AX17" s="61"/>
      <c r="AY17" s="62">
        <v>125</v>
      </c>
      <c r="AZ17" s="66">
        <f>'PF176'!AA134</f>
        <v>0</v>
      </c>
    </row>
    <row r="18" spans="2:52" ht="15" customHeight="1" x14ac:dyDescent="0.55000000000000004">
      <c r="B18" s="34"/>
      <c r="C18" s="65">
        <f>'PF176'!AA18</f>
        <v>0</v>
      </c>
      <c r="D18" s="60">
        <v>9</v>
      </c>
      <c r="E18" s="61"/>
      <c r="F18" s="142"/>
      <c r="G18" s="142"/>
      <c r="H18" s="142"/>
      <c r="I18" s="142"/>
      <c r="J18" s="142"/>
      <c r="K18" s="142"/>
      <c r="L18" s="142"/>
      <c r="M18" s="142"/>
      <c r="N18" s="142"/>
      <c r="O18" s="142"/>
      <c r="P18" s="142"/>
      <c r="Q18" s="142"/>
      <c r="R18" s="142"/>
      <c r="S18" s="142"/>
      <c r="T18" s="142"/>
      <c r="U18" s="142"/>
      <c r="V18" s="142"/>
      <c r="W18" s="142"/>
      <c r="X18" s="142"/>
      <c r="Y18" s="142"/>
      <c r="Z18" s="142"/>
      <c r="AA18" s="142"/>
      <c r="AB18" s="142"/>
      <c r="AC18" s="142"/>
      <c r="AD18" s="142"/>
      <c r="AE18" s="142"/>
      <c r="AF18" s="142"/>
      <c r="AG18" s="142"/>
      <c r="AH18" s="142"/>
      <c r="AI18" s="142"/>
      <c r="AJ18" s="142"/>
      <c r="AK18" s="142"/>
      <c r="AL18" s="142"/>
      <c r="AM18" s="142"/>
      <c r="AN18" s="142"/>
      <c r="AO18" s="142"/>
      <c r="AP18" s="142"/>
      <c r="AQ18" s="142"/>
      <c r="AR18" s="142"/>
      <c r="AS18" s="142"/>
      <c r="AT18" s="142"/>
      <c r="AU18" s="142"/>
      <c r="AV18" s="142"/>
      <c r="AW18" s="142"/>
      <c r="AX18" s="61"/>
      <c r="AY18" s="62">
        <v>124</v>
      </c>
      <c r="AZ18" s="66">
        <f>'PF176'!AA133</f>
        <v>0</v>
      </c>
    </row>
    <row r="19" spans="2:52" ht="15" customHeight="1" x14ac:dyDescent="0.55000000000000004">
      <c r="B19" s="34"/>
      <c r="C19" s="65">
        <f>'PF176'!AA19</f>
        <v>0</v>
      </c>
      <c r="D19" s="60">
        <v>10</v>
      </c>
      <c r="E19" s="61"/>
      <c r="F19" s="142"/>
      <c r="G19" s="142"/>
      <c r="H19" s="142"/>
      <c r="I19" s="142"/>
      <c r="J19" s="142"/>
      <c r="K19" s="142"/>
      <c r="L19" s="142"/>
      <c r="M19" s="142"/>
      <c r="N19" s="142"/>
      <c r="O19" s="142"/>
      <c r="P19" s="142"/>
      <c r="Q19" s="142"/>
      <c r="R19" s="142"/>
      <c r="S19" s="142"/>
      <c r="T19" s="142"/>
      <c r="U19" s="142"/>
      <c r="V19" s="142"/>
      <c r="W19" s="142"/>
      <c r="X19" s="142"/>
      <c r="Y19" s="142"/>
      <c r="Z19" s="142"/>
      <c r="AA19" s="142"/>
      <c r="AB19" s="142"/>
      <c r="AC19" s="142"/>
      <c r="AD19" s="142"/>
      <c r="AE19" s="142"/>
      <c r="AF19" s="142"/>
      <c r="AG19" s="142"/>
      <c r="AH19" s="142"/>
      <c r="AI19" s="142"/>
      <c r="AJ19" s="142"/>
      <c r="AK19" s="142"/>
      <c r="AL19" s="142"/>
      <c r="AM19" s="142"/>
      <c r="AN19" s="142"/>
      <c r="AO19" s="142"/>
      <c r="AP19" s="142"/>
      <c r="AQ19" s="142"/>
      <c r="AR19" s="142"/>
      <c r="AS19" s="142"/>
      <c r="AT19" s="142"/>
      <c r="AU19" s="142"/>
      <c r="AV19" s="142"/>
      <c r="AW19" s="142"/>
      <c r="AX19" s="61"/>
      <c r="AY19" s="62">
        <v>123</v>
      </c>
      <c r="AZ19" s="66">
        <f>'PF176'!AA132</f>
        <v>0</v>
      </c>
    </row>
    <row r="20" spans="2:52" ht="15" customHeight="1" x14ac:dyDescent="0.55000000000000004">
      <c r="B20" s="34"/>
      <c r="C20" s="65">
        <f>'PF176'!AA20</f>
        <v>0</v>
      </c>
      <c r="D20" s="60">
        <v>11</v>
      </c>
      <c r="E20" s="61"/>
      <c r="F20" s="142"/>
      <c r="G20" s="142"/>
      <c r="H20" s="142"/>
      <c r="I20" s="142"/>
      <c r="J20" s="142"/>
      <c r="K20" s="142"/>
      <c r="L20" s="142"/>
      <c r="M20" s="142"/>
      <c r="N20" s="142"/>
      <c r="O20" s="142"/>
      <c r="P20" s="142"/>
      <c r="Q20" s="142"/>
      <c r="R20" s="142"/>
      <c r="S20" s="142"/>
      <c r="T20" s="142"/>
      <c r="U20" s="142"/>
      <c r="V20" s="142"/>
      <c r="W20" s="142"/>
      <c r="X20" s="142"/>
      <c r="Y20" s="142"/>
      <c r="Z20" s="142"/>
      <c r="AA20" s="142"/>
      <c r="AB20" s="142"/>
      <c r="AC20" s="142"/>
      <c r="AD20" s="142"/>
      <c r="AE20" s="142"/>
      <c r="AF20" s="142"/>
      <c r="AG20" s="142"/>
      <c r="AH20" s="142"/>
      <c r="AI20" s="142"/>
      <c r="AJ20" s="142"/>
      <c r="AK20" s="142"/>
      <c r="AL20" s="142"/>
      <c r="AM20" s="142"/>
      <c r="AN20" s="142"/>
      <c r="AO20" s="142"/>
      <c r="AP20" s="142"/>
      <c r="AQ20" s="142"/>
      <c r="AR20" s="142"/>
      <c r="AS20" s="142"/>
      <c r="AT20" s="142"/>
      <c r="AU20" s="142"/>
      <c r="AV20" s="142"/>
      <c r="AW20" s="142"/>
      <c r="AX20" s="61"/>
      <c r="AY20" s="62">
        <v>122</v>
      </c>
      <c r="AZ20" s="66">
        <f>'PF176'!AA131</f>
        <v>0</v>
      </c>
    </row>
    <row r="21" spans="2:52" ht="15" customHeight="1" x14ac:dyDescent="0.55000000000000004">
      <c r="B21" s="34"/>
      <c r="C21" s="63" t="str">
        <f>'PF176'!AA21</f>
        <v>VSSIO_HSIO</v>
      </c>
      <c r="D21" s="60">
        <v>12</v>
      </c>
      <c r="E21" s="61"/>
      <c r="F21" s="142"/>
      <c r="G21" s="142"/>
      <c r="H21" s="142"/>
      <c r="I21" s="142"/>
      <c r="J21" s="142"/>
      <c r="K21" s="142"/>
      <c r="L21" s="142"/>
      <c r="M21" s="142"/>
      <c r="N21" s="142"/>
      <c r="O21" s="142"/>
      <c r="P21" s="142"/>
      <c r="Q21" s="142"/>
      <c r="R21" s="142"/>
      <c r="S21" s="142"/>
      <c r="T21" s="142"/>
      <c r="U21" s="142"/>
      <c r="V21" s="142"/>
      <c r="W21" s="142"/>
      <c r="X21" s="142"/>
      <c r="Y21" s="142"/>
      <c r="Z21" s="142"/>
      <c r="AA21" s="142"/>
      <c r="AB21" s="142"/>
      <c r="AC21" s="142"/>
      <c r="AD21" s="142"/>
      <c r="AE21" s="142"/>
      <c r="AF21" s="142"/>
      <c r="AG21" s="142"/>
      <c r="AH21" s="142"/>
      <c r="AI21" s="142"/>
      <c r="AJ21" s="142"/>
      <c r="AK21" s="142"/>
      <c r="AL21" s="142"/>
      <c r="AM21" s="142"/>
      <c r="AN21" s="142"/>
      <c r="AO21" s="142"/>
      <c r="AP21" s="142"/>
      <c r="AQ21" s="142"/>
      <c r="AR21" s="142"/>
      <c r="AS21" s="142"/>
      <c r="AT21" s="142"/>
      <c r="AU21" s="142"/>
      <c r="AV21" s="142"/>
      <c r="AW21" s="142"/>
      <c r="AX21" s="61"/>
      <c r="AY21" s="62">
        <v>121</v>
      </c>
      <c r="AZ21" s="66">
        <f>'PF176'!AA130</f>
        <v>0</v>
      </c>
    </row>
    <row r="22" spans="2:52" ht="15" customHeight="1" x14ac:dyDescent="0.55000000000000004">
      <c r="B22" s="34"/>
      <c r="C22" s="67" t="str">
        <f>'PF176'!AA22</f>
        <v>VDDIO_HSIO</v>
      </c>
      <c r="D22" s="60">
        <v>13</v>
      </c>
      <c r="E22" s="61"/>
      <c r="F22" s="142"/>
      <c r="G22" s="142"/>
      <c r="H22" s="142"/>
      <c r="I22" s="142"/>
      <c r="J22" s="142"/>
      <c r="K22" s="142"/>
      <c r="L22" s="142"/>
      <c r="M22" s="142"/>
      <c r="N22" s="142"/>
      <c r="O22" s="142"/>
      <c r="P22" s="142"/>
      <c r="Q22" s="142"/>
      <c r="R22" s="142"/>
      <c r="S22" s="142"/>
      <c r="T22" s="142"/>
      <c r="U22" s="142"/>
      <c r="V22" s="142"/>
      <c r="W22" s="142"/>
      <c r="X22" s="142"/>
      <c r="Y22" s="142"/>
      <c r="Z22" s="142"/>
      <c r="AA22" s="142"/>
      <c r="AB22" s="142"/>
      <c r="AC22" s="142"/>
      <c r="AD22" s="142"/>
      <c r="AE22" s="142"/>
      <c r="AF22" s="142"/>
      <c r="AG22" s="142"/>
      <c r="AH22" s="142"/>
      <c r="AI22" s="142"/>
      <c r="AJ22" s="142"/>
      <c r="AK22" s="142"/>
      <c r="AL22" s="142"/>
      <c r="AM22" s="142"/>
      <c r="AN22" s="142"/>
      <c r="AO22" s="142"/>
      <c r="AP22" s="142"/>
      <c r="AQ22" s="142"/>
      <c r="AR22" s="142"/>
      <c r="AS22" s="142"/>
      <c r="AT22" s="142"/>
      <c r="AU22" s="142"/>
      <c r="AV22" s="142"/>
      <c r="AW22" s="142"/>
      <c r="AX22" s="61"/>
      <c r="AY22" s="62">
        <v>120</v>
      </c>
      <c r="AZ22" s="66">
        <f>'PF176'!AA129</f>
        <v>0</v>
      </c>
    </row>
    <row r="23" spans="2:52" ht="15" customHeight="1" x14ac:dyDescent="0.55000000000000004">
      <c r="B23" s="34"/>
      <c r="C23" s="65">
        <f>'PF176'!AA23</f>
        <v>0</v>
      </c>
      <c r="D23" s="60">
        <v>14</v>
      </c>
      <c r="E23" s="61"/>
      <c r="F23" s="142"/>
      <c r="G23" s="142"/>
      <c r="H23" s="142"/>
      <c r="I23" s="142"/>
      <c r="J23" s="142"/>
      <c r="K23" s="142"/>
      <c r="L23" s="142"/>
      <c r="M23" s="142"/>
      <c r="N23" s="142"/>
      <c r="O23" s="142"/>
      <c r="P23" s="142"/>
      <c r="Q23" s="142"/>
      <c r="R23" s="142"/>
      <c r="S23" s="142"/>
      <c r="T23" s="142"/>
      <c r="U23" s="142"/>
      <c r="V23" s="142"/>
      <c r="W23" s="142"/>
      <c r="X23" s="142"/>
      <c r="Y23" s="142"/>
      <c r="Z23" s="142"/>
      <c r="AA23" s="142"/>
      <c r="AB23" s="142"/>
      <c r="AC23" s="142"/>
      <c r="AD23" s="142"/>
      <c r="AE23" s="142"/>
      <c r="AF23" s="142"/>
      <c r="AG23" s="142"/>
      <c r="AH23" s="142"/>
      <c r="AI23" s="142"/>
      <c r="AJ23" s="142"/>
      <c r="AK23" s="142"/>
      <c r="AL23" s="142"/>
      <c r="AM23" s="142"/>
      <c r="AN23" s="142"/>
      <c r="AO23" s="142"/>
      <c r="AP23" s="142"/>
      <c r="AQ23" s="142"/>
      <c r="AR23" s="142"/>
      <c r="AS23" s="142"/>
      <c r="AT23" s="142"/>
      <c r="AU23" s="142"/>
      <c r="AV23" s="142"/>
      <c r="AW23" s="142"/>
      <c r="AX23" s="61"/>
      <c r="AY23" s="62">
        <v>119</v>
      </c>
      <c r="AZ23" s="66">
        <f>'PF176'!AA128</f>
        <v>0</v>
      </c>
    </row>
    <row r="24" spans="2:52" ht="15" customHeight="1" x14ac:dyDescent="0.55000000000000004">
      <c r="B24" s="34"/>
      <c r="C24" s="65">
        <f>'PF176'!AA24</f>
        <v>0</v>
      </c>
      <c r="D24" s="60">
        <v>15</v>
      </c>
      <c r="E24" s="61"/>
      <c r="F24" s="142"/>
      <c r="G24" s="142"/>
      <c r="H24" s="142"/>
      <c r="I24" s="142"/>
      <c r="J24" s="142"/>
      <c r="K24" s="142"/>
      <c r="L24" s="142"/>
      <c r="M24" s="142"/>
      <c r="N24" s="142"/>
      <c r="O24" s="142"/>
      <c r="P24" s="142"/>
      <c r="Q24" s="142"/>
      <c r="R24" s="142"/>
      <c r="S24" s="142"/>
      <c r="T24" s="142"/>
      <c r="U24" s="142"/>
      <c r="V24" s="142"/>
      <c r="W24" s="142"/>
      <c r="X24" s="142"/>
      <c r="Y24" s="142"/>
      <c r="Z24" s="142"/>
      <c r="AA24" s="142"/>
      <c r="AB24" s="142"/>
      <c r="AC24" s="142"/>
      <c r="AD24" s="142"/>
      <c r="AE24" s="142"/>
      <c r="AF24" s="142"/>
      <c r="AG24" s="142"/>
      <c r="AH24" s="142"/>
      <c r="AI24" s="142"/>
      <c r="AJ24" s="142"/>
      <c r="AK24" s="142"/>
      <c r="AL24" s="142"/>
      <c r="AM24" s="142"/>
      <c r="AN24" s="142"/>
      <c r="AO24" s="142"/>
      <c r="AP24" s="142"/>
      <c r="AQ24" s="142"/>
      <c r="AR24" s="142"/>
      <c r="AS24" s="142"/>
      <c r="AT24" s="142"/>
      <c r="AU24" s="142"/>
      <c r="AV24" s="142"/>
      <c r="AW24" s="142"/>
      <c r="AX24" s="61"/>
      <c r="AY24" s="62">
        <v>118</v>
      </c>
      <c r="AZ24" s="66">
        <f>'PF176'!AA127</f>
        <v>0</v>
      </c>
    </row>
    <row r="25" spans="2:52" ht="15" customHeight="1" x14ac:dyDescent="0.55000000000000004">
      <c r="B25" s="34"/>
      <c r="C25" s="65">
        <f>'PF176'!AA25</f>
        <v>0</v>
      </c>
      <c r="D25" s="60">
        <v>16</v>
      </c>
      <c r="E25" s="61"/>
      <c r="F25" s="142"/>
      <c r="G25" s="142"/>
      <c r="H25" s="142"/>
      <c r="I25" s="142"/>
      <c r="J25" s="142"/>
      <c r="K25" s="142"/>
      <c r="L25" s="142"/>
      <c r="M25" s="142"/>
      <c r="N25" s="142"/>
      <c r="O25" s="142"/>
      <c r="P25" s="142"/>
      <c r="Q25" s="142"/>
      <c r="R25" s="142"/>
      <c r="S25" s="142"/>
      <c r="T25" s="142"/>
      <c r="U25" s="142"/>
      <c r="V25" s="142"/>
      <c r="W25" s="142"/>
      <c r="X25" s="142"/>
      <c r="Y25" s="142"/>
      <c r="Z25" s="142"/>
      <c r="AA25" s="142"/>
      <c r="AB25" s="142"/>
      <c r="AC25" s="142"/>
      <c r="AD25" s="142"/>
      <c r="AE25" s="142"/>
      <c r="AF25" s="142"/>
      <c r="AG25" s="142"/>
      <c r="AH25" s="142"/>
      <c r="AI25" s="142"/>
      <c r="AJ25" s="142"/>
      <c r="AK25" s="142"/>
      <c r="AL25" s="142"/>
      <c r="AM25" s="142"/>
      <c r="AN25" s="142"/>
      <c r="AO25" s="142"/>
      <c r="AP25" s="142"/>
      <c r="AQ25" s="142"/>
      <c r="AR25" s="142"/>
      <c r="AS25" s="142"/>
      <c r="AT25" s="142"/>
      <c r="AU25" s="142"/>
      <c r="AV25" s="142"/>
      <c r="AW25" s="142"/>
      <c r="AX25" s="61"/>
      <c r="AY25" s="62">
        <v>117</v>
      </c>
      <c r="AZ25" s="66">
        <f>'PF176'!AA126</f>
        <v>0</v>
      </c>
    </row>
    <row r="26" spans="2:52" ht="15" customHeight="1" x14ac:dyDescent="0.55000000000000004">
      <c r="B26" s="34"/>
      <c r="C26" s="65">
        <f>'PF176'!AA26</f>
        <v>0</v>
      </c>
      <c r="D26" s="60">
        <v>17</v>
      </c>
      <c r="E26" s="61"/>
      <c r="F26" s="142"/>
      <c r="G26" s="142"/>
      <c r="H26" s="142"/>
      <c r="I26" s="142"/>
      <c r="J26" s="142"/>
      <c r="K26" s="142"/>
      <c r="L26" s="142"/>
      <c r="M26" s="142"/>
      <c r="N26" s="142"/>
      <c r="O26" s="142"/>
      <c r="P26" s="142"/>
      <c r="Q26" s="142"/>
      <c r="R26" s="142"/>
      <c r="S26" s="142"/>
      <c r="T26" s="142"/>
      <c r="U26" s="142"/>
      <c r="V26" s="142"/>
      <c r="W26" s="142"/>
      <c r="X26" s="142"/>
      <c r="Y26" s="142"/>
      <c r="Z26" s="142"/>
      <c r="AA26" s="142"/>
      <c r="AB26" s="142"/>
      <c r="AC26" s="142"/>
      <c r="AD26" s="142"/>
      <c r="AE26" s="142"/>
      <c r="AF26" s="142"/>
      <c r="AG26" s="142"/>
      <c r="AH26" s="142"/>
      <c r="AI26" s="142"/>
      <c r="AJ26" s="142"/>
      <c r="AK26" s="142"/>
      <c r="AL26" s="142"/>
      <c r="AM26" s="142"/>
      <c r="AN26" s="142"/>
      <c r="AO26" s="142"/>
      <c r="AP26" s="142"/>
      <c r="AQ26" s="142"/>
      <c r="AR26" s="142"/>
      <c r="AS26" s="142"/>
      <c r="AT26" s="142"/>
      <c r="AU26" s="142"/>
      <c r="AV26" s="142"/>
      <c r="AW26" s="142"/>
      <c r="AX26" s="61"/>
      <c r="AY26" s="62">
        <v>116</v>
      </c>
      <c r="AZ26" s="66">
        <f>'PF176'!AA125</f>
        <v>0</v>
      </c>
    </row>
    <row r="27" spans="2:52" ht="15" customHeight="1" x14ac:dyDescent="0.55000000000000004">
      <c r="B27" s="34"/>
      <c r="C27" s="67" t="str">
        <f>'PF176'!AA27</f>
        <v>VDDIO_HSIO</v>
      </c>
      <c r="D27" s="60">
        <v>18</v>
      </c>
      <c r="E27" s="61"/>
      <c r="F27" s="142"/>
      <c r="G27" s="142"/>
      <c r="H27" s="142"/>
      <c r="I27" s="142"/>
      <c r="J27" s="142"/>
      <c r="K27" s="142"/>
      <c r="L27" s="142"/>
      <c r="M27" s="142"/>
      <c r="N27" s="142"/>
      <c r="O27" s="142"/>
      <c r="P27" s="142"/>
      <c r="Q27" s="142"/>
      <c r="R27" s="142"/>
      <c r="S27" s="142"/>
      <c r="T27" s="142"/>
      <c r="U27" s="142"/>
      <c r="V27" s="142"/>
      <c r="W27" s="142"/>
      <c r="X27" s="142"/>
      <c r="Y27" s="142"/>
      <c r="Z27" s="142"/>
      <c r="AA27" s="142"/>
      <c r="AB27" s="142"/>
      <c r="AC27" s="142"/>
      <c r="AD27" s="142"/>
      <c r="AE27" s="142"/>
      <c r="AF27" s="142"/>
      <c r="AG27" s="142"/>
      <c r="AH27" s="142"/>
      <c r="AI27" s="142"/>
      <c r="AJ27" s="142"/>
      <c r="AK27" s="142"/>
      <c r="AL27" s="142"/>
      <c r="AM27" s="142"/>
      <c r="AN27" s="142"/>
      <c r="AO27" s="142"/>
      <c r="AP27" s="142"/>
      <c r="AQ27" s="142"/>
      <c r="AR27" s="142"/>
      <c r="AS27" s="142"/>
      <c r="AT27" s="142"/>
      <c r="AU27" s="142"/>
      <c r="AV27" s="142"/>
      <c r="AW27" s="142"/>
      <c r="AX27" s="61"/>
      <c r="AY27" s="62">
        <v>115</v>
      </c>
      <c r="AZ27" s="66">
        <f>'PF176'!AA124</f>
        <v>0</v>
      </c>
    </row>
    <row r="28" spans="2:52" ht="15" customHeight="1" x14ac:dyDescent="0.55000000000000004">
      <c r="B28" s="34"/>
      <c r="C28" s="63" t="str">
        <f>'PF176'!AA28</f>
        <v>VSSIO_HSIO</v>
      </c>
      <c r="D28" s="60">
        <v>19</v>
      </c>
      <c r="E28" s="61"/>
      <c r="F28" s="142"/>
      <c r="G28" s="142"/>
      <c r="H28" s="142"/>
      <c r="I28" s="142"/>
      <c r="J28" s="142"/>
      <c r="K28" s="142"/>
      <c r="L28" s="142"/>
      <c r="M28" s="142"/>
      <c r="N28" s="142"/>
      <c r="O28" s="142"/>
      <c r="P28" s="142"/>
      <c r="Q28" s="142"/>
      <c r="R28" s="142"/>
      <c r="S28" s="142"/>
      <c r="T28" s="142"/>
      <c r="U28" s="142"/>
      <c r="V28" s="142"/>
      <c r="W28" s="142"/>
      <c r="X28" s="142"/>
      <c r="Y28" s="142"/>
      <c r="Z28" s="142"/>
      <c r="AA28" s="142"/>
      <c r="AB28" s="142"/>
      <c r="AC28" s="142"/>
      <c r="AD28" s="142"/>
      <c r="AE28" s="142"/>
      <c r="AF28" s="142"/>
      <c r="AG28" s="142"/>
      <c r="AH28" s="142"/>
      <c r="AI28" s="142"/>
      <c r="AJ28" s="142"/>
      <c r="AK28" s="142"/>
      <c r="AL28" s="142"/>
      <c r="AM28" s="142"/>
      <c r="AN28" s="142"/>
      <c r="AO28" s="142"/>
      <c r="AP28" s="142"/>
      <c r="AQ28" s="142"/>
      <c r="AR28" s="142"/>
      <c r="AS28" s="142"/>
      <c r="AT28" s="142"/>
      <c r="AU28" s="142"/>
      <c r="AV28" s="142"/>
      <c r="AW28" s="142"/>
      <c r="AX28" s="61"/>
      <c r="AY28" s="62">
        <v>114</v>
      </c>
      <c r="AZ28" s="66">
        <f>'PF176'!AA123</f>
        <v>0</v>
      </c>
    </row>
    <row r="29" spans="2:52" ht="15" customHeight="1" x14ac:dyDescent="0.55000000000000004">
      <c r="B29" s="34"/>
      <c r="C29" s="67" t="str">
        <f>'PF176'!AA29</f>
        <v>VDDD</v>
      </c>
      <c r="D29" s="60">
        <v>20</v>
      </c>
      <c r="E29" s="61"/>
      <c r="F29" s="142"/>
      <c r="G29" s="142"/>
      <c r="H29" s="142"/>
      <c r="I29" s="142"/>
      <c r="J29" s="142"/>
      <c r="K29" s="142"/>
      <c r="L29" s="142"/>
      <c r="M29" s="142"/>
      <c r="N29" s="142"/>
      <c r="O29" s="142"/>
      <c r="P29" s="142"/>
      <c r="Q29" s="142"/>
      <c r="R29" s="142"/>
      <c r="S29" s="142"/>
      <c r="T29" s="142"/>
      <c r="U29" s="142"/>
      <c r="V29" s="142"/>
      <c r="W29" s="142"/>
      <c r="X29" s="142"/>
      <c r="Y29" s="142"/>
      <c r="Z29" s="142"/>
      <c r="AA29" s="142"/>
      <c r="AB29" s="142"/>
      <c r="AC29" s="142"/>
      <c r="AD29" s="142"/>
      <c r="AE29" s="142"/>
      <c r="AF29" s="142"/>
      <c r="AG29" s="142"/>
      <c r="AH29" s="142"/>
      <c r="AI29" s="142"/>
      <c r="AJ29" s="142"/>
      <c r="AK29" s="142"/>
      <c r="AL29" s="142"/>
      <c r="AM29" s="142"/>
      <c r="AN29" s="142"/>
      <c r="AO29" s="142"/>
      <c r="AP29" s="142"/>
      <c r="AQ29" s="142"/>
      <c r="AR29" s="142"/>
      <c r="AS29" s="142"/>
      <c r="AT29" s="142"/>
      <c r="AU29" s="142"/>
      <c r="AV29" s="142"/>
      <c r="AW29" s="142"/>
      <c r="AX29" s="61"/>
      <c r="AY29" s="62">
        <v>113</v>
      </c>
      <c r="AZ29" s="66">
        <f>'PF176'!AA122</f>
        <v>0</v>
      </c>
    </row>
    <row r="30" spans="2:52" ht="15" customHeight="1" x14ac:dyDescent="0.55000000000000004">
      <c r="B30" s="34"/>
      <c r="C30" s="67" t="str">
        <f>'PF176'!AA30</f>
        <v>VCCD</v>
      </c>
      <c r="D30" s="60">
        <v>21</v>
      </c>
      <c r="E30" s="61"/>
      <c r="F30" s="142"/>
      <c r="G30" s="142"/>
      <c r="H30" s="142"/>
      <c r="I30" s="142"/>
      <c r="J30" s="142"/>
      <c r="K30" s="142"/>
      <c r="L30" s="142"/>
      <c r="M30" s="142"/>
      <c r="N30" s="142"/>
      <c r="O30" s="142"/>
      <c r="P30" s="142"/>
      <c r="Q30" s="142"/>
      <c r="R30" s="142"/>
      <c r="S30" s="142"/>
      <c r="T30" s="142"/>
      <c r="U30" s="142"/>
      <c r="V30" s="142"/>
      <c r="W30" s="142"/>
      <c r="X30" s="142"/>
      <c r="Y30" s="142"/>
      <c r="Z30" s="142"/>
      <c r="AA30" s="142"/>
      <c r="AB30" s="142"/>
      <c r="AC30" s="142"/>
      <c r="AD30" s="142"/>
      <c r="AE30" s="142"/>
      <c r="AF30" s="142"/>
      <c r="AG30" s="142"/>
      <c r="AH30" s="142"/>
      <c r="AI30" s="142"/>
      <c r="AJ30" s="142"/>
      <c r="AK30" s="142"/>
      <c r="AL30" s="142"/>
      <c r="AM30" s="142"/>
      <c r="AN30" s="142"/>
      <c r="AO30" s="142"/>
      <c r="AP30" s="142"/>
      <c r="AQ30" s="142"/>
      <c r="AR30" s="142"/>
      <c r="AS30" s="142"/>
      <c r="AT30" s="142"/>
      <c r="AU30" s="142"/>
      <c r="AV30" s="142"/>
      <c r="AW30" s="142"/>
      <c r="AX30" s="61"/>
      <c r="AY30" s="62">
        <v>112</v>
      </c>
      <c r="AZ30" s="66">
        <f>'PF176'!AA121</f>
        <v>0</v>
      </c>
    </row>
    <row r="31" spans="2:52" ht="15" customHeight="1" x14ac:dyDescent="0.55000000000000004">
      <c r="B31" s="34"/>
      <c r="C31" s="63" t="str">
        <f>'PF176'!AA31</f>
        <v>VSSD</v>
      </c>
      <c r="D31" s="60">
        <v>22</v>
      </c>
      <c r="E31" s="61"/>
      <c r="F31" s="142"/>
      <c r="G31" s="142"/>
      <c r="H31" s="142"/>
      <c r="I31" s="142"/>
      <c r="J31" s="142"/>
      <c r="K31" s="142"/>
      <c r="L31" s="142"/>
      <c r="M31" s="142"/>
      <c r="N31" s="142"/>
      <c r="O31" s="142"/>
      <c r="P31" s="142"/>
      <c r="Q31" s="142"/>
      <c r="R31" s="142"/>
      <c r="S31" s="142"/>
      <c r="T31" s="142"/>
      <c r="U31" s="142"/>
      <c r="V31" s="142"/>
      <c r="W31" s="142"/>
      <c r="X31" s="142"/>
      <c r="Y31" s="142"/>
      <c r="Z31" s="142"/>
      <c r="AA31" s="142"/>
      <c r="AB31" s="142"/>
      <c r="AC31" s="142"/>
      <c r="AD31" s="142"/>
      <c r="AE31" s="142"/>
      <c r="AF31" s="142"/>
      <c r="AG31" s="142"/>
      <c r="AH31" s="142"/>
      <c r="AI31" s="142"/>
      <c r="AJ31" s="142"/>
      <c r="AK31" s="142"/>
      <c r="AL31" s="142"/>
      <c r="AM31" s="142"/>
      <c r="AN31" s="142"/>
      <c r="AO31" s="142"/>
      <c r="AP31" s="142"/>
      <c r="AQ31" s="142"/>
      <c r="AR31" s="142"/>
      <c r="AS31" s="142"/>
      <c r="AT31" s="142"/>
      <c r="AU31" s="142"/>
      <c r="AV31" s="142"/>
      <c r="AW31" s="142"/>
      <c r="AX31" s="61"/>
      <c r="AY31" s="62">
        <v>111</v>
      </c>
      <c r="AZ31" s="66">
        <f>'PF176'!AA120</f>
        <v>0</v>
      </c>
    </row>
    <row r="32" spans="2:52" ht="15" customHeight="1" x14ac:dyDescent="0.55000000000000004">
      <c r="B32" s="34"/>
      <c r="C32" s="77">
        <f>'PF176'!AA32</f>
        <v>0</v>
      </c>
      <c r="D32" s="60">
        <v>23</v>
      </c>
      <c r="E32" s="61"/>
      <c r="F32" s="142"/>
      <c r="G32" s="142"/>
      <c r="H32" s="142"/>
      <c r="I32" s="142"/>
      <c r="J32" s="142"/>
      <c r="K32" s="142"/>
      <c r="L32" s="142"/>
      <c r="M32" s="142"/>
      <c r="N32" s="142"/>
      <c r="O32" s="142"/>
      <c r="P32" s="142"/>
      <c r="Q32" s="142"/>
      <c r="R32" s="142"/>
      <c r="S32" s="142"/>
      <c r="T32" s="142"/>
      <c r="U32" s="142"/>
      <c r="V32" s="142"/>
      <c r="W32" s="142"/>
      <c r="X32" s="142"/>
      <c r="Y32" s="142"/>
      <c r="Z32" s="142"/>
      <c r="AA32" s="142"/>
      <c r="AB32" s="142"/>
      <c r="AC32" s="142"/>
      <c r="AD32" s="142"/>
      <c r="AE32" s="142"/>
      <c r="AF32" s="142"/>
      <c r="AG32" s="142"/>
      <c r="AH32" s="142"/>
      <c r="AI32" s="142"/>
      <c r="AJ32" s="142"/>
      <c r="AK32" s="142"/>
      <c r="AL32" s="142"/>
      <c r="AM32" s="142"/>
      <c r="AN32" s="142"/>
      <c r="AO32" s="142"/>
      <c r="AP32" s="142"/>
      <c r="AQ32" s="142"/>
      <c r="AR32" s="142"/>
      <c r="AS32" s="142"/>
      <c r="AT32" s="142"/>
      <c r="AU32" s="142"/>
      <c r="AV32" s="142"/>
      <c r="AW32" s="142"/>
      <c r="AX32" s="61"/>
      <c r="AY32" s="62">
        <v>110</v>
      </c>
      <c r="AZ32" s="66">
        <f>'PF176'!AA119</f>
        <v>0</v>
      </c>
    </row>
    <row r="33" spans="2:52" ht="15" customHeight="1" x14ac:dyDescent="0.55000000000000004">
      <c r="B33" s="34"/>
      <c r="C33" s="65">
        <f>'PF176'!AA33</f>
        <v>0</v>
      </c>
      <c r="D33" s="60">
        <v>24</v>
      </c>
      <c r="E33" s="61"/>
      <c r="F33" s="142"/>
      <c r="G33" s="142"/>
      <c r="H33" s="142"/>
      <c r="I33" s="142"/>
      <c r="J33" s="142"/>
      <c r="K33" s="142"/>
      <c r="L33" s="142"/>
      <c r="M33" s="142"/>
      <c r="N33" s="142"/>
      <c r="O33" s="142"/>
      <c r="P33" s="142"/>
      <c r="Q33" s="142"/>
      <c r="R33" s="142"/>
      <c r="S33" s="142"/>
      <c r="T33" s="142"/>
      <c r="U33" s="142"/>
      <c r="V33" s="142"/>
      <c r="W33" s="142"/>
      <c r="X33" s="142"/>
      <c r="Y33" s="142"/>
      <c r="Z33" s="142"/>
      <c r="AA33" s="142"/>
      <c r="AB33" s="142"/>
      <c r="AC33" s="142"/>
      <c r="AD33" s="142"/>
      <c r="AE33" s="142"/>
      <c r="AF33" s="142"/>
      <c r="AG33" s="142"/>
      <c r="AH33" s="142"/>
      <c r="AI33" s="142"/>
      <c r="AJ33" s="142"/>
      <c r="AK33" s="142"/>
      <c r="AL33" s="142"/>
      <c r="AM33" s="142"/>
      <c r="AN33" s="142"/>
      <c r="AO33" s="142"/>
      <c r="AP33" s="142"/>
      <c r="AQ33" s="142"/>
      <c r="AR33" s="142"/>
      <c r="AS33" s="142"/>
      <c r="AT33" s="142"/>
      <c r="AU33" s="142"/>
      <c r="AV33" s="142"/>
      <c r="AW33" s="142"/>
      <c r="AX33" s="61"/>
      <c r="AY33" s="62">
        <v>109</v>
      </c>
      <c r="AZ33" s="66">
        <f>'PF176'!AA118</f>
        <v>0</v>
      </c>
    </row>
    <row r="34" spans="2:52" ht="15" customHeight="1" x14ac:dyDescent="0.55000000000000004">
      <c r="B34" s="34"/>
      <c r="C34" s="65">
        <f>'PF176'!AA34</f>
        <v>0</v>
      </c>
      <c r="D34" s="60">
        <v>25</v>
      </c>
      <c r="E34" s="61"/>
      <c r="F34" s="142"/>
      <c r="G34" s="142"/>
      <c r="H34" s="142"/>
      <c r="I34" s="142"/>
      <c r="J34" s="142"/>
      <c r="K34" s="142"/>
      <c r="L34" s="142"/>
      <c r="M34" s="142"/>
      <c r="N34" s="142"/>
      <c r="O34" s="142"/>
      <c r="P34" s="142"/>
      <c r="Q34" s="142"/>
      <c r="R34" s="142"/>
      <c r="S34" s="142"/>
      <c r="T34" s="142"/>
      <c r="U34" s="142"/>
      <c r="V34" s="142"/>
      <c r="W34" s="142"/>
      <c r="X34" s="142"/>
      <c r="Y34" s="142"/>
      <c r="Z34" s="142"/>
      <c r="AA34" s="142"/>
      <c r="AB34" s="142"/>
      <c r="AC34" s="142"/>
      <c r="AD34" s="142"/>
      <c r="AE34" s="142"/>
      <c r="AF34" s="142"/>
      <c r="AG34" s="142"/>
      <c r="AH34" s="142"/>
      <c r="AI34" s="142"/>
      <c r="AJ34" s="142"/>
      <c r="AK34" s="142"/>
      <c r="AL34" s="142"/>
      <c r="AM34" s="142"/>
      <c r="AN34" s="142"/>
      <c r="AO34" s="142"/>
      <c r="AP34" s="142"/>
      <c r="AQ34" s="142"/>
      <c r="AR34" s="142"/>
      <c r="AS34" s="142"/>
      <c r="AT34" s="142"/>
      <c r="AU34" s="142"/>
      <c r="AV34" s="142"/>
      <c r="AW34" s="142"/>
      <c r="AX34" s="61"/>
      <c r="AY34" s="62">
        <v>108</v>
      </c>
      <c r="AZ34" s="79" t="str">
        <f>'PF176'!AA117</f>
        <v>XRES_L</v>
      </c>
    </row>
    <row r="35" spans="2:52" ht="15" customHeight="1" x14ac:dyDescent="0.55000000000000004">
      <c r="B35" s="34"/>
      <c r="C35" s="65">
        <f>'PF176'!AA35</f>
        <v>0</v>
      </c>
      <c r="D35" s="60">
        <v>26</v>
      </c>
      <c r="E35" s="61"/>
      <c r="F35" s="142"/>
      <c r="G35" s="142"/>
      <c r="H35" s="142"/>
      <c r="I35" s="142"/>
      <c r="J35" s="142"/>
      <c r="K35" s="142"/>
      <c r="L35" s="142"/>
      <c r="M35" s="142"/>
      <c r="N35" s="142"/>
      <c r="O35" s="142"/>
      <c r="P35" s="142"/>
      <c r="Q35" s="142"/>
      <c r="R35" s="142"/>
      <c r="S35" s="142"/>
      <c r="T35" s="142"/>
      <c r="U35" s="142"/>
      <c r="V35" s="142"/>
      <c r="W35" s="142"/>
      <c r="X35" s="142"/>
      <c r="Y35" s="142"/>
      <c r="Z35" s="142"/>
      <c r="AA35" s="142"/>
      <c r="AB35" s="142"/>
      <c r="AC35" s="142"/>
      <c r="AD35" s="142"/>
      <c r="AE35" s="142"/>
      <c r="AF35" s="142"/>
      <c r="AG35" s="142"/>
      <c r="AH35" s="142"/>
      <c r="AI35" s="142"/>
      <c r="AJ35" s="142"/>
      <c r="AK35" s="142"/>
      <c r="AL35" s="142"/>
      <c r="AM35" s="142"/>
      <c r="AN35" s="142"/>
      <c r="AO35" s="142"/>
      <c r="AP35" s="142"/>
      <c r="AQ35" s="142"/>
      <c r="AR35" s="142"/>
      <c r="AS35" s="142"/>
      <c r="AT35" s="142"/>
      <c r="AU35" s="142"/>
      <c r="AV35" s="142"/>
      <c r="AW35" s="142"/>
      <c r="AX35" s="61"/>
      <c r="AY35" s="62">
        <v>107</v>
      </c>
      <c r="AZ35" s="68" t="str">
        <f>'PF176'!AA116</f>
        <v>VSSD</v>
      </c>
    </row>
    <row r="36" spans="2:52" ht="15" customHeight="1" x14ac:dyDescent="0.55000000000000004">
      <c r="B36" s="34"/>
      <c r="C36" s="65">
        <f>'PF176'!AA36</f>
        <v>0</v>
      </c>
      <c r="D36" s="60">
        <v>27</v>
      </c>
      <c r="E36" s="61"/>
      <c r="F36" s="142"/>
      <c r="G36" s="142"/>
      <c r="H36" s="142"/>
      <c r="I36" s="142"/>
      <c r="J36" s="142"/>
      <c r="K36" s="142"/>
      <c r="L36" s="142"/>
      <c r="M36" s="142"/>
      <c r="N36" s="142"/>
      <c r="O36" s="142"/>
      <c r="P36" s="142"/>
      <c r="Q36" s="142"/>
      <c r="R36" s="142"/>
      <c r="S36" s="142"/>
      <c r="T36" s="142"/>
      <c r="U36" s="142"/>
      <c r="V36" s="142"/>
      <c r="W36" s="142"/>
      <c r="X36" s="142"/>
      <c r="Y36" s="142"/>
      <c r="Z36" s="142"/>
      <c r="AA36" s="142"/>
      <c r="AB36" s="142"/>
      <c r="AC36" s="142"/>
      <c r="AD36" s="142"/>
      <c r="AE36" s="142"/>
      <c r="AF36" s="142"/>
      <c r="AG36" s="142"/>
      <c r="AH36" s="142"/>
      <c r="AI36" s="142"/>
      <c r="AJ36" s="142"/>
      <c r="AK36" s="142"/>
      <c r="AL36" s="142"/>
      <c r="AM36" s="142"/>
      <c r="AN36" s="142"/>
      <c r="AO36" s="142"/>
      <c r="AP36" s="142"/>
      <c r="AQ36" s="142"/>
      <c r="AR36" s="142"/>
      <c r="AS36" s="142"/>
      <c r="AT36" s="142"/>
      <c r="AU36" s="142"/>
      <c r="AV36" s="142"/>
      <c r="AW36" s="142"/>
      <c r="AX36" s="61"/>
      <c r="AY36" s="62">
        <v>106</v>
      </c>
      <c r="AZ36" s="64" t="str">
        <f>'PF176'!AA115</f>
        <v>VCCD</v>
      </c>
    </row>
    <row r="37" spans="2:52" ht="15" customHeight="1" x14ac:dyDescent="0.55000000000000004">
      <c r="B37" s="34"/>
      <c r="C37" s="65">
        <f>'PF176'!AA37</f>
        <v>0</v>
      </c>
      <c r="D37" s="60">
        <v>28</v>
      </c>
      <c r="E37" s="61"/>
      <c r="F37" s="142"/>
      <c r="G37" s="142"/>
      <c r="H37" s="142"/>
      <c r="I37" s="142"/>
      <c r="J37" s="142"/>
      <c r="K37" s="142"/>
      <c r="L37" s="142"/>
      <c r="M37" s="142"/>
      <c r="N37" s="142"/>
      <c r="O37" s="142"/>
      <c r="P37" s="142"/>
      <c r="Q37" s="142"/>
      <c r="R37" s="142"/>
      <c r="S37" s="142"/>
      <c r="T37" s="142"/>
      <c r="U37" s="142"/>
      <c r="V37" s="142"/>
      <c r="W37" s="142"/>
      <c r="X37" s="142"/>
      <c r="Y37" s="142"/>
      <c r="Z37" s="142"/>
      <c r="AA37" s="142"/>
      <c r="AB37" s="142"/>
      <c r="AC37" s="142"/>
      <c r="AD37" s="142"/>
      <c r="AE37" s="142"/>
      <c r="AF37" s="142"/>
      <c r="AG37" s="142"/>
      <c r="AH37" s="142"/>
      <c r="AI37" s="142"/>
      <c r="AJ37" s="142"/>
      <c r="AK37" s="142"/>
      <c r="AL37" s="142"/>
      <c r="AM37" s="142"/>
      <c r="AN37" s="142"/>
      <c r="AO37" s="142"/>
      <c r="AP37" s="142"/>
      <c r="AQ37" s="142"/>
      <c r="AR37" s="142"/>
      <c r="AS37" s="142"/>
      <c r="AT37" s="142"/>
      <c r="AU37" s="142"/>
      <c r="AV37" s="142"/>
      <c r="AW37" s="142"/>
      <c r="AX37" s="61"/>
      <c r="AY37" s="62">
        <v>105</v>
      </c>
      <c r="AZ37" s="64" t="str">
        <f>'PF176'!AA114</f>
        <v>VDDD</v>
      </c>
    </row>
    <row r="38" spans="2:52" ht="15" customHeight="1" x14ac:dyDescent="0.55000000000000004">
      <c r="B38" s="34"/>
      <c r="C38" s="65">
        <f>'PF176'!AA38</f>
        <v>0</v>
      </c>
      <c r="D38" s="60">
        <v>29</v>
      </c>
      <c r="E38" s="61"/>
      <c r="F38" s="142"/>
      <c r="G38" s="142"/>
      <c r="H38" s="142"/>
      <c r="I38" s="142"/>
      <c r="J38" s="142"/>
      <c r="K38" s="142"/>
      <c r="L38" s="142"/>
      <c r="M38" s="142"/>
      <c r="N38" s="142"/>
      <c r="O38" s="142"/>
      <c r="P38" s="142"/>
      <c r="Q38" s="142"/>
      <c r="R38" s="142"/>
      <c r="S38" s="142"/>
      <c r="T38" s="142"/>
      <c r="U38" s="142"/>
      <c r="V38" s="142"/>
      <c r="W38" s="142"/>
      <c r="X38" s="142"/>
      <c r="Y38" s="142"/>
      <c r="Z38" s="142"/>
      <c r="AA38" s="142"/>
      <c r="AB38" s="142"/>
      <c r="AC38" s="142"/>
      <c r="AD38" s="142"/>
      <c r="AE38" s="142"/>
      <c r="AF38" s="142"/>
      <c r="AG38" s="142"/>
      <c r="AH38" s="142"/>
      <c r="AI38" s="142"/>
      <c r="AJ38" s="142"/>
      <c r="AK38" s="142"/>
      <c r="AL38" s="142"/>
      <c r="AM38" s="142"/>
      <c r="AN38" s="142"/>
      <c r="AO38" s="142"/>
      <c r="AP38" s="142"/>
      <c r="AQ38" s="142"/>
      <c r="AR38" s="142"/>
      <c r="AS38" s="142"/>
      <c r="AT38" s="142"/>
      <c r="AU38" s="142"/>
      <c r="AV38" s="142"/>
      <c r="AW38" s="142"/>
      <c r="AX38" s="61"/>
      <c r="AY38" s="62">
        <v>104</v>
      </c>
      <c r="AZ38" s="64" t="str">
        <f>'PF176'!AA113</f>
        <v>VDDD</v>
      </c>
    </row>
    <row r="39" spans="2:52" ht="15" customHeight="1" x14ac:dyDescent="0.55000000000000004">
      <c r="B39" s="34"/>
      <c r="C39" s="65">
        <f>'PF176'!AA39</f>
        <v>0</v>
      </c>
      <c r="D39" s="60">
        <v>30</v>
      </c>
      <c r="E39" s="61"/>
      <c r="F39" s="142"/>
      <c r="G39" s="142"/>
      <c r="H39" s="142"/>
      <c r="I39" s="142"/>
      <c r="J39" s="142"/>
      <c r="K39" s="142"/>
      <c r="L39" s="142"/>
      <c r="M39" s="142"/>
      <c r="N39" s="142"/>
      <c r="O39" s="142"/>
      <c r="P39" s="142"/>
      <c r="Q39" s="142"/>
      <c r="R39" s="142"/>
      <c r="S39" s="142"/>
      <c r="T39" s="142"/>
      <c r="U39" s="142"/>
      <c r="V39" s="142"/>
      <c r="W39" s="142"/>
      <c r="X39" s="142"/>
      <c r="Y39" s="142"/>
      <c r="Z39" s="142"/>
      <c r="AA39" s="142"/>
      <c r="AB39" s="142"/>
      <c r="AC39" s="142"/>
      <c r="AD39" s="142"/>
      <c r="AE39" s="142"/>
      <c r="AF39" s="142"/>
      <c r="AG39" s="142"/>
      <c r="AH39" s="142"/>
      <c r="AI39" s="142"/>
      <c r="AJ39" s="142"/>
      <c r="AK39" s="142"/>
      <c r="AL39" s="142"/>
      <c r="AM39" s="142"/>
      <c r="AN39" s="142"/>
      <c r="AO39" s="142"/>
      <c r="AP39" s="142"/>
      <c r="AQ39" s="142"/>
      <c r="AR39" s="142"/>
      <c r="AS39" s="142"/>
      <c r="AT39" s="142"/>
      <c r="AU39" s="142"/>
      <c r="AV39" s="142"/>
      <c r="AW39" s="142"/>
      <c r="AX39" s="61"/>
      <c r="AY39" s="62">
        <v>103</v>
      </c>
      <c r="AZ39" s="66">
        <f>'PF176'!AA112</f>
        <v>0</v>
      </c>
    </row>
    <row r="40" spans="2:52" ht="15" customHeight="1" x14ac:dyDescent="0.55000000000000004">
      <c r="B40" s="34"/>
      <c r="C40" s="65">
        <f>'PF176'!AA40</f>
        <v>0</v>
      </c>
      <c r="D40" s="60">
        <v>31</v>
      </c>
      <c r="E40" s="61"/>
      <c r="F40" s="142"/>
      <c r="G40" s="142"/>
      <c r="H40" s="142"/>
      <c r="I40" s="142"/>
      <c r="J40" s="142"/>
      <c r="K40" s="142"/>
      <c r="L40" s="142"/>
      <c r="M40" s="142"/>
      <c r="N40" s="142"/>
      <c r="O40" s="142"/>
      <c r="P40" s="142"/>
      <c r="Q40" s="142"/>
      <c r="R40" s="142"/>
      <c r="S40" s="142"/>
      <c r="T40" s="142"/>
      <c r="U40" s="142"/>
      <c r="V40" s="142"/>
      <c r="W40" s="142"/>
      <c r="X40" s="142"/>
      <c r="Y40" s="142"/>
      <c r="Z40" s="142"/>
      <c r="AA40" s="142"/>
      <c r="AB40" s="142"/>
      <c r="AC40" s="142"/>
      <c r="AD40" s="142"/>
      <c r="AE40" s="142"/>
      <c r="AF40" s="142"/>
      <c r="AG40" s="142"/>
      <c r="AH40" s="142"/>
      <c r="AI40" s="142"/>
      <c r="AJ40" s="142"/>
      <c r="AK40" s="142"/>
      <c r="AL40" s="142"/>
      <c r="AM40" s="142"/>
      <c r="AN40" s="142"/>
      <c r="AO40" s="142"/>
      <c r="AP40" s="142"/>
      <c r="AQ40" s="142"/>
      <c r="AR40" s="142"/>
      <c r="AS40" s="142"/>
      <c r="AT40" s="142"/>
      <c r="AU40" s="142"/>
      <c r="AV40" s="142"/>
      <c r="AW40" s="142"/>
      <c r="AX40" s="61"/>
      <c r="AY40" s="62">
        <v>102</v>
      </c>
      <c r="AZ40" s="66">
        <f>'PF176'!AA111</f>
        <v>0</v>
      </c>
    </row>
    <row r="41" spans="2:52" ht="15" customHeight="1" x14ac:dyDescent="0.55000000000000004">
      <c r="B41" s="34"/>
      <c r="C41" s="65">
        <f>'PF176'!AA41</f>
        <v>0</v>
      </c>
      <c r="D41" s="60">
        <v>32</v>
      </c>
      <c r="E41" s="61"/>
      <c r="F41" s="142"/>
      <c r="G41" s="142"/>
      <c r="H41" s="142"/>
      <c r="I41" s="142"/>
      <c r="J41" s="142"/>
      <c r="K41" s="142"/>
      <c r="L41" s="142"/>
      <c r="M41" s="142"/>
      <c r="N41" s="142"/>
      <c r="O41" s="142"/>
      <c r="P41" s="142"/>
      <c r="Q41" s="142"/>
      <c r="R41" s="142"/>
      <c r="S41" s="142"/>
      <c r="T41" s="142"/>
      <c r="U41" s="142"/>
      <c r="V41" s="142"/>
      <c r="W41" s="142"/>
      <c r="X41" s="142"/>
      <c r="Y41" s="142"/>
      <c r="Z41" s="142"/>
      <c r="AA41" s="142"/>
      <c r="AB41" s="142"/>
      <c r="AC41" s="142"/>
      <c r="AD41" s="142"/>
      <c r="AE41" s="142"/>
      <c r="AF41" s="142"/>
      <c r="AG41" s="142"/>
      <c r="AH41" s="142"/>
      <c r="AI41" s="142"/>
      <c r="AJ41" s="142"/>
      <c r="AK41" s="142"/>
      <c r="AL41" s="142"/>
      <c r="AM41" s="142"/>
      <c r="AN41" s="142"/>
      <c r="AO41" s="142"/>
      <c r="AP41" s="142"/>
      <c r="AQ41" s="142"/>
      <c r="AR41" s="142"/>
      <c r="AS41" s="142"/>
      <c r="AT41" s="142"/>
      <c r="AU41" s="142"/>
      <c r="AV41" s="142"/>
      <c r="AW41" s="142"/>
      <c r="AX41" s="61"/>
      <c r="AY41" s="62">
        <v>101</v>
      </c>
      <c r="AZ41" s="66">
        <f>'PF176'!AA110</f>
        <v>0</v>
      </c>
    </row>
    <row r="42" spans="2:52" ht="15" customHeight="1" x14ac:dyDescent="0.55000000000000004">
      <c r="B42" s="34"/>
      <c r="C42" s="65">
        <f>'PF176'!AA42</f>
        <v>0</v>
      </c>
      <c r="D42" s="60">
        <v>33</v>
      </c>
      <c r="E42" s="61"/>
      <c r="F42" s="142"/>
      <c r="G42" s="142"/>
      <c r="H42" s="142"/>
      <c r="I42" s="142"/>
      <c r="J42" s="142"/>
      <c r="K42" s="142"/>
      <c r="L42" s="142"/>
      <c r="M42" s="142"/>
      <c r="N42" s="142"/>
      <c r="O42" s="142"/>
      <c r="P42" s="142"/>
      <c r="Q42" s="142"/>
      <c r="R42" s="142"/>
      <c r="S42" s="142"/>
      <c r="T42" s="142"/>
      <c r="U42" s="142"/>
      <c r="V42" s="142"/>
      <c r="W42" s="142"/>
      <c r="X42" s="142"/>
      <c r="Y42" s="142"/>
      <c r="Z42" s="142"/>
      <c r="AA42" s="142"/>
      <c r="AB42" s="142"/>
      <c r="AC42" s="142"/>
      <c r="AD42" s="142"/>
      <c r="AE42" s="142"/>
      <c r="AF42" s="142"/>
      <c r="AG42" s="142"/>
      <c r="AH42" s="142"/>
      <c r="AI42" s="142"/>
      <c r="AJ42" s="142"/>
      <c r="AK42" s="142"/>
      <c r="AL42" s="142"/>
      <c r="AM42" s="142"/>
      <c r="AN42" s="142"/>
      <c r="AO42" s="142"/>
      <c r="AP42" s="142"/>
      <c r="AQ42" s="142"/>
      <c r="AR42" s="142"/>
      <c r="AS42" s="142"/>
      <c r="AT42" s="142"/>
      <c r="AU42" s="142"/>
      <c r="AV42" s="142"/>
      <c r="AW42" s="142"/>
      <c r="AX42" s="61"/>
      <c r="AY42" s="62">
        <v>100</v>
      </c>
      <c r="AZ42" s="66">
        <f>'PF176'!AA109</f>
        <v>0</v>
      </c>
    </row>
    <row r="43" spans="2:52" ht="15" customHeight="1" x14ac:dyDescent="0.55000000000000004">
      <c r="B43" s="34"/>
      <c r="C43" s="65">
        <f>'PF176'!AA43</f>
        <v>0</v>
      </c>
      <c r="D43" s="60">
        <v>34</v>
      </c>
      <c r="E43" s="61"/>
      <c r="F43" s="142"/>
      <c r="G43" s="142"/>
      <c r="H43" s="142"/>
      <c r="I43" s="142"/>
      <c r="J43" s="142"/>
      <c r="K43" s="142"/>
      <c r="L43" s="142"/>
      <c r="M43" s="142"/>
      <c r="N43" s="142"/>
      <c r="O43" s="142"/>
      <c r="P43" s="142"/>
      <c r="Q43" s="142"/>
      <c r="R43" s="142"/>
      <c r="S43" s="142"/>
      <c r="T43" s="142"/>
      <c r="U43" s="142"/>
      <c r="V43" s="142"/>
      <c r="W43" s="142"/>
      <c r="X43" s="142"/>
      <c r="Y43" s="142"/>
      <c r="Z43" s="142"/>
      <c r="AA43" s="142"/>
      <c r="AB43" s="142"/>
      <c r="AC43" s="142"/>
      <c r="AD43" s="142"/>
      <c r="AE43" s="142"/>
      <c r="AF43" s="142"/>
      <c r="AG43" s="142"/>
      <c r="AH43" s="142"/>
      <c r="AI43" s="142"/>
      <c r="AJ43" s="142"/>
      <c r="AK43" s="142"/>
      <c r="AL43" s="142"/>
      <c r="AM43" s="142"/>
      <c r="AN43" s="142"/>
      <c r="AO43" s="142"/>
      <c r="AP43" s="142"/>
      <c r="AQ43" s="142"/>
      <c r="AR43" s="142"/>
      <c r="AS43" s="142"/>
      <c r="AT43" s="142"/>
      <c r="AU43" s="142"/>
      <c r="AV43" s="142"/>
      <c r="AW43" s="142"/>
      <c r="AX43" s="61"/>
      <c r="AY43" s="62">
        <v>99</v>
      </c>
      <c r="AZ43" s="68" t="str">
        <f>'PF176'!AA108</f>
        <v>VSSD</v>
      </c>
    </row>
    <row r="44" spans="2:52" ht="15" customHeight="1" x14ac:dyDescent="0.55000000000000004">
      <c r="B44" s="34"/>
      <c r="C44" s="65">
        <f>'PF176'!AA44</f>
        <v>0</v>
      </c>
      <c r="D44" s="60">
        <v>35</v>
      </c>
      <c r="E44" s="61"/>
      <c r="F44" s="142"/>
      <c r="G44" s="142"/>
      <c r="H44" s="142"/>
      <c r="I44" s="142"/>
      <c r="J44" s="142"/>
      <c r="K44" s="142"/>
      <c r="L44" s="142"/>
      <c r="M44" s="142"/>
      <c r="N44" s="142"/>
      <c r="O44" s="142"/>
      <c r="P44" s="142"/>
      <c r="Q44" s="142"/>
      <c r="R44" s="142"/>
      <c r="S44" s="142"/>
      <c r="T44" s="142"/>
      <c r="U44" s="142"/>
      <c r="V44" s="142"/>
      <c r="W44" s="142"/>
      <c r="X44" s="142"/>
      <c r="Y44" s="142"/>
      <c r="Z44" s="142"/>
      <c r="AA44" s="142"/>
      <c r="AB44" s="142"/>
      <c r="AC44" s="142"/>
      <c r="AD44" s="142"/>
      <c r="AE44" s="142"/>
      <c r="AF44" s="142"/>
      <c r="AG44" s="142"/>
      <c r="AH44" s="142"/>
      <c r="AI44" s="142"/>
      <c r="AJ44" s="142"/>
      <c r="AK44" s="142"/>
      <c r="AL44" s="142"/>
      <c r="AM44" s="142"/>
      <c r="AN44" s="142"/>
      <c r="AO44" s="142"/>
      <c r="AP44" s="142"/>
      <c r="AQ44" s="142"/>
      <c r="AR44" s="142"/>
      <c r="AS44" s="142"/>
      <c r="AT44" s="142"/>
      <c r="AU44" s="142"/>
      <c r="AV44" s="142"/>
      <c r="AW44" s="142"/>
      <c r="AX44" s="61"/>
      <c r="AY44" s="62">
        <v>98</v>
      </c>
      <c r="AZ44" s="66">
        <f>'PF176'!AA107</f>
        <v>0</v>
      </c>
    </row>
    <row r="45" spans="2:52" ht="15" customHeight="1" x14ac:dyDescent="0.55000000000000004">
      <c r="B45" s="34"/>
      <c r="C45" s="65">
        <f>'PF176'!AA45</f>
        <v>0</v>
      </c>
      <c r="D45" s="60">
        <v>36</v>
      </c>
      <c r="E45" s="61"/>
      <c r="F45" s="142"/>
      <c r="G45" s="142"/>
      <c r="H45" s="142"/>
      <c r="I45" s="142"/>
      <c r="J45" s="142"/>
      <c r="K45" s="142"/>
      <c r="L45" s="142"/>
      <c r="M45" s="142"/>
      <c r="N45" s="142"/>
      <c r="O45" s="142"/>
      <c r="P45" s="142"/>
      <c r="Q45" s="142"/>
      <c r="R45" s="142"/>
      <c r="S45" s="142"/>
      <c r="T45" s="142"/>
      <c r="U45" s="142"/>
      <c r="V45" s="142"/>
      <c r="W45" s="142"/>
      <c r="X45" s="142"/>
      <c r="Y45" s="142"/>
      <c r="Z45" s="142"/>
      <c r="AA45" s="142"/>
      <c r="AB45" s="142"/>
      <c r="AC45" s="142"/>
      <c r="AD45" s="142"/>
      <c r="AE45" s="142"/>
      <c r="AF45" s="142"/>
      <c r="AG45" s="142"/>
      <c r="AH45" s="142"/>
      <c r="AI45" s="142"/>
      <c r="AJ45" s="142"/>
      <c r="AK45" s="142"/>
      <c r="AL45" s="142"/>
      <c r="AM45" s="142"/>
      <c r="AN45" s="142"/>
      <c r="AO45" s="142"/>
      <c r="AP45" s="142"/>
      <c r="AQ45" s="142"/>
      <c r="AR45" s="142"/>
      <c r="AS45" s="142"/>
      <c r="AT45" s="142"/>
      <c r="AU45" s="142"/>
      <c r="AV45" s="142"/>
      <c r="AW45" s="142"/>
      <c r="AX45" s="61"/>
      <c r="AY45" s="62">
        <v>97</v>
      </c>
      <c r="AZ45" s="66">
        <f>'PF176'!AA106</f>
        <v>0</v>
      </c>
    </row>
    <row r="46" spans="2:52" ht="15" customHeight="1" x14ac:dyDescent="0.55000000000000004">
      <c r="B46" s="34"/>
      <c r="C46" s="65">
        <f>'PF176'!AA46</f>
        <v>0</v>
      </c>
      <c r="D46" s="60">
        <v>37</v>
      </c>
      <c r="E46" s="61"/>
      <c r="F46" s="142"/>
      <c r="G46" s="142"/>
      <c r="H46" s="142"/>
      <c r="I46" s="142"/>
      <c r="J46" s="142"/>
      <c r="K46" s="142"/>
      <c r="L46" s="142"/>
      <c r="M46" s="142"/>
      <c r="N46" s="142"/>
      <c r="O46" s="142"/>
      <c r="P46" s="142"/>
      <c r="Q46" s="142"/>
      <c r="R46" s="142"/>
      <c r="S46" s="142"/>
      <c r="T46" s="142"/>
      <c r="U46" s="142"/>
      <c r="V46" s="142"/>
      <c r="W46" s="142"/>
      <c r="X46" s="142"/>
      <c r="Y46" s="142"/>
      <c r="Z46" s="142"/>
      <c r="AA46" s="142"/>
      <c r="AB46" s="142"/>
      <c r="AC46" s="142"/>
      <c r="AD46" s="142"/>
      <c r="AE46" s="142"/>
      <c r="AF46" s="142"/>
      <c r="AG46" s="142"/>
      <c r="AH46" s="142"/>
      <c r="AI46" s="142"/>
      <c r="AJ46" s="142"/>
      <c r="AK46" s="142"/>
      <c r="AL46" s="142"/>
      <c r="AM46" s="142"/>
      <c r="AN46" s="142"/>
      <c r="AO46" s="142"/>
      <c r="AP46" s="142"/>
      <c r="AQ46" s="142"/>
      <c r="AR46" s="142"/>
      <c r="AS46" s="142"/>
      <c r="AT46" s="142"/>
      <c r="AU46" s="142"/>
      <c r="AV46" s="142"/>
      <c r="AW46" s="142"/>
      <c r="AX46" s="61"/>
      <c r="AY46" s="62">
        <v>96</v>
      </c>
      <c r="AZ46" s="66">
        <f>'PF176'!AA105</f>
        <v>0</v>
      </c>
    </row>
    <row r="47" spans="2:52" ht="15" customHeight="1" x14ac:dyDescent="0.55000000000000004">
      <c r="B47" s="34"/>
      <c r="C47" s="65">
        <f>'PF176'!AA47</f>
        <v>0</v>
      </c>
      <c r="D47" s="60">
        <v>38</v>
      </c>
      <c r="E47" s="61"/>
      <c r="F47" s="142"/>
      <c r="G47" s="142"/>
      <c r="H47" s="142"/>
      <c r="I47" s="142"/>
      <c r="J47" s="142"/>
      <c r="K47" s="142"/>
      <c r="L47" s="142"/>
      <c r="M47" s="142"/>
      <c r="N47" s="142"/>
      <c r="O47" s="142"/>
      <c r="P47" s="142"/>
      <c r="Q47" s="142"/>
      <c r="R47" s="142"/>
      <c r="S47" s="142"/>
      <c r="T47" s="142"/>
      <c r="U47" s="142"/>
      <c r="V47" s="142"/>
      <c r="W47" s="142"/>
      <c r="X47" s="142"/>
      <c r="Y47" s="142"/>
      <c r="Z47" s="142"/>
      <c r="AA47" s="142"/>
      <c r="AB47" s="142"/>
      <c r="AC47" s="142"/>
      <c r="AD47" s="142"/>
      <c r="AE47" s="142"/>
      <c r="AF47" s="142"/>
      <c r="AG47" s="142"/>
      <c r="AH47" s="142"/>
      <c r="AI47" s="142"/>
      <c r="AJ47" s="142"/>
      <c r="AK47" s="142"/>
      <c r="AL47" s="142"/>
      <c r="AM47" s="142"/>
      <c r="AN47" s="142"/>
      <c r="AO47" s="142"/>
      <c r="AP47" s="142"/>
      <c r="AQ47" s="142"/>
      <c r="AR47" s="142"/>
      <c r="AS47" s="142"/>
      <c r="AT47" s="142"/>
      <c r="AU47" s="142"/>
      <c r="AV47" s="142"/>
      <c r="AW47" s="142"/>
      <c r="AX47" s="61"/>
      <c r="AY47" s="62">
        <v>95</v>
      </c>
      <c r="AZ47" s="66">
        <f>'PF176'!AA104</f>
        <v>0</v>
      </c>
    </row>
    <row r="48" spans="2:52" ht="15" customHeight="1" x14ac:dyDescent="0.55000000000000004">
      <c r="B48" s="34"/>
      <c r="C48" s="65">
        <f>'PF176'!AA48</f>
        <v>0</v>
      </c>
      <c r="D48" s="60">
        <v>39</v>
      </c>
      <c r="E48" s="61"/>
      <c r="F48" s="142"/>
      <c r="G48" s="142"/>
      <c r="H48" s="142"/>
      <c r="I48" s="142"/>
      <c r="J48" s="142"/>
      <c r="K48" s="142"/>
      <c r="L48" s="142"/>
      <c r="M48" s="142"/>
      <c r="N48" s="142"/>
      <c r="O48" s="142"/>
      <c r="P48" s="142"/>
      <c r="Q48" s="142"/>
      <c r="R48" s="142"/>
      <c r="S48" s="142"/>
      <c r="T48" s="142"/>
      <c r="U48" s="142"/>
      <c r="V48" s="142"/>
      <c r="W48" s="142"/>
      <c r="X48" s="142"/>
      <c r="Y48" s="142"/>
      <c r="Z48" s="142"/>
      <c r="AA48" s="142"/>
      <c r="AB48" s="142"/>
      <c r="AC48" s="142"/>
      <c r="AD48" s="142"/>
      <c r="AE48" s="142"/>
      <c r="AF48" s="142"/>
      <c r="AG48" s="142"/>
      <c r="AH48" s="142"/>
      <c r="AI48" s="142"/>
      <c r="AJ48" s="142"/>
      <c r="AK48" s="142"/>
      <c r="AL48" s="142"/>
      <c r="AM48" s="142"/>
      <c r="AN48" s="142"/>
      <c r="AO48" s="142"/>
      <c r="AP48" s="142"/>
      <c r="AQ48" s="142"/>
      <c r="AR48" s="142"/>
      <c r="AS48" s="142"/>
      <c r="AT48" s="142"/>
      <c r="AU48" s="142"/>
      <c r="AV48" s="142"/>
      <c r="AW48" s="142"/>
      <c r="AX48" s="61"/>
      <c r="AY48" s="62">
        <v>94</v>
      </c>
      <c r="AZ48" s="66">
        <f>'PF176'!AA103</f>
        <v>0</v>
      </c>
    </row>
    <row r="49" spans="2:52" ht="15" customHeight="1" x14ac:dyDescent="0.55000000000000004">
      <c r="B49" s="34"/>
      <c r="C49" s="65">
        <f>'PF176'!AA49</f>
        <v>0</v>
      </c>
      <c r="D49" s="60">
        <v>40</v>
      </c>
      <c r="E49" s="61"/>
      <c r="F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c r="AE49" s="142"/>
      <c r="AF49" s="142"/>
      <c r="AG49" s="142"/>
      <c r="AH49" s="142"/>
      <c r="AI49" s="142"/>
      <c r="AJ49" s="142"/>
      <c r="AK49" s="142"/>
      <c r="AL49" s="142"/>
      <c r="AM49" s="142"/>
      <c r="AN49" s="142"/>
      <c r="AO49" s="142"/>
      <c r="AP49" s="142"/>
      <c r="AQ49" s="142"/>
      <c r="AR49" s="142"/>
      <c r="AS49" s="142"/>
      <c r="AT49" s="142"/>
      <c r="AU49" s="142"/>
      <c r="AV49" s="142"/>
      <c r="AW49" s="142"/>
      <c r="AX49" s="61"/>
      <c r="AY49" s="62">
        <v>93</v>
      </c>
      <c r="AZ49" s="66">
        <f>'PF176'!AA102</f>
        <v>0</v>
      </c>
    </row>
    <row r="50" spans="2:52" ht="15" customHeight="1" x14ac:dyDescent="0.55000000000000004">
      <c r="B50" s="34"/>
      <c r="C50" s="65">
        <f>'PF176'!AA50</f>
        <v>0</v>
      </c>
      <c r="D50" s="60">
        <v>41</v>
      </c>
      <c r="E50" s="61"/>
      <c r="F50" s="142"/>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c r="AE50" s="142"/>
      <c r="AF50" s="142"/>
      <c r="AG50" s="142"/>
      <c r="AH50" s="142"/>
      <c r="AI50" s="142"/>
      <c r="AJ50" s="142"/>
      <c r="AK50" s="142"/>
      <c r="AL50" s="142"/>
      <c r="AM50" s="142"/>
      <c r="AN50" s="142"/>
      <c r="AO50" s="142"/>
      <c r="AP50" s="142"/>
      <c r="AQ50" s="142"/>
      <c r="AR50" s="142"/>
      <c r="AS50" s="142"/>
      <c r="AT50" s="142"/>
      <c r="AU50" s="142"/>
      <c r="AV50" s="142"/>
      <c r="AW50" s="142"/>
      <c r="AX50" s="61"/>
      <c r="AY50" s="62">
        <v>92</v>
      </c>
      <c r="AZ50" s="66">
        <f>'PF176'!AA101</f>
        <v>0</v>
      </c>
    </row>
    <row r="51" spans="2:52" ht="15" customHeight="1" x14ac:dyDescent="0.55000000000000004">
      <c r="B51" s="34"/>
      <c r="C51" s="65">
        <f>'PF176'!AA51</f>
        <v>0</v>
      </c>
      <c r="D51" s="60">
        <v>42</v>
      </c>
      <c r="E51" s="61"/>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c r="AE51" s="142"/>
      <c r="AF51" s="142"/>
      <c r="AG51" s="142"/>
      <c r="AH51" s="142"/>
      <c r="AI51" s="142"/>
      <c r="AJ51" s="142"/>
      <c r="AK51" s="142"/>
      <c r="AL51" s="142"/>
      <c r="AM51" s="142"/>
      <c r="AN51" s="142"/>
      <c r="AO51" s="142"/>
      <c r="AP51" s="142"/>
      <c r="AQ51" s="142"/>
      <c r="AR51" s="142"/>
      <c r="AS51" s="142"/>
      <c r="AT51" s="142"/>
      <c r="AU51" s="142"/>
      <c r="AV51" s="142"/>
      <c r="AW51" s="142"/>
      <c r="AX51" s="61"/>
      <c r="AY51" s="62">
        <v>91</v>
      </c>
      <c r="AZ51" s="66">
        <f>'PF176'!AA100</f>
        <v>0</v>
      </c>
    </row>
    <row r="52" spans="2:52" ht="15" customHeight="1" x14ac:dyDescent="0.55000000000000004">
      <c r="B52" s="34"/>
      <c r="C52" s="65">
        <f>'PF176'!AA52</f>
        <v>0</v>
      </c>
      <c r="D52" s="60">
        <v>43</v>
      </c>
      <c r="E52" s="61"/>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2"/>
      <c r="AV52" s="142"/>
      <c r="AW52" s="142"/>
      <c r="AX52" s="61"/>
      <c r="AY52" s="62">
        <v>90</v>
      </c>
      <c r="AZ52" s="66">
        <f>'PF176'!AA99</f>
        <v>0</v>
      </c>
    </row>
    <row r="53" spans="2:52" ht="15" customHeight="1" x14ac:dyDescent="0.55000000000000004">
      <c r="B53" s="34"/>
      <c r="C53" s="63" t="str">
        <f>'PF176'!AA53</f>
        <v>VSSD</v>
      </c>
      <c r="D53" s="60">
        <v>44</v>
      </c>
      <c r="E53" s="61"/>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c r="AU53" s="142"/>
      <c r="AV53" s="142"/>
      <c r="AW53" s="142"/>
      <c r="AX53" s="61"/>
      <c r="AY53" s="62">
        <v>89</v>
      </c>
      <c r="AZ53" s="68" t="str">
        <f>'PF176'!AA98</f>
        <v>VSSD</v>
      </c>
    </row>
    <row r="54" spans="2:52" ht="15" customHeight="1" x14ac:dyDescent="0.55000000000000004">
      <c r="D54" s="60"/>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c r="AL54" s="61"/>
      <c r="AM54" s="61"/>
      <c r="AN54" s="61"/>
      <c r="AO54" s="61"/>
      <c r="AP54" s="61"/>
      <c r="AQ54" s="61"/>
      <c r="AR54" s="61"/>
      <c r="AS54" s="61"/>
      <c r="AT54" s="61"/>
      <c r="AU54" s="61"/>
      <c r="AV54" s="61"/>
      <c r="AW54" s="61"/>
      <c r="AX54" s="61"/>
      <c r="AY54" s="62"/>
    </row>
    <row r="55" spans="2:52" ht="15" customHeight="1" x14ac:dyDescent="0.55000000000000004">
      <c r="D55" s="59"/>
      <c r="E55" s="69"/>
      <c r="F55" s="69">
        <v>45</v>
      </c>
      <c r="G55" s="69">
        <v>46</v>
      </c>
      <c r="H55" s="69">
        <v>47</v>
      </c>
      <c r="I55" s="69">
        <v>48</v>
      </c>
      <c r="J55" s="69">
        <v>49</v>
      </c>
      <c r="K55" s="69">
        <v>50</v>
      </c>
      <c r="L55" s="69">
        <v>51</v>
      </c>
      <c r="M55" s="69">
        <v>52</v>
      </c>
      <c r="N55" s="69">
        <v>53</v>
      </c>
      <c r="O55" s="69">
        <v>54</v>
      </c>
      <c r="P55" s="69">
        <v>55</v>
      </c>
      <c r="Q55" s="69">
        <v>56</v>
      </c>
      <c r="R55" s="69">
        <v>57</v>
      </c>
      <c r="S55" s="69">
        <v>58</v>
      </c>
      <c r="T55" s="69">
        <v>59</v>
      </c>
      <c r="U55" s="69">
        <v>60</v>
      </c>
      <c r="V55" s="69">
        <v>61</v>
      </c>
      <c r="W55" s="69">
        <v>62</v>
      </c>
      <c r="X55" s="69">
        <v>63</v>
      </c>
      <c r="Y55" s="69">
        <v>64</v>
      </c>
      <c r="Z55" s="69">
        <v>65</v>
      </c>
      <c r="AA55" s="69">
        <v>66</v>
      </c>
      <c r="AB55" s="69">
        <v>67</v>
      </c>
      <c r="AC55" s="69">
        <v>68</v>
      </c>
      <c r="AD55" s="69">
        <v>69</v>
      </c>
      <c r="AE55" s="69">
        <v>70</v>
      </c>
      <c r="AF55" s="69">
        <v>71</v>
      </c>
      <c r="AG55" s="69">
        <v>72</v>
      </c>
      <c r="AH55" s="69">
        <v>73</v>
      </c>
      <c r="AI55" s="69">
        <v>74</v>
      </c>
      <c r="AJ55" s="69">
        <v>75</v>
      </c>
      <c r="AK55" s="69">
        <v>76</v>
      </c>
      <c r="AL55" s="69">
        <v>77</v>
      </c>
      <c r="AM55" s="69">
        <v>78</v>
      </c>
      <c r="AN55" s="69">
        <v>79</v>
      </c>
      <c r="AO55" s="69">
        <v>80</v>
      </c>
      <c r="AP55" s="69">
        <v>81</v>
      </c>
      <c r="AQ55" s="69">
        <v>82</v>
      </c>
      <c r="AR55" s="69">
        <v>83</v>
      </c>
      <c r="AS55" s="69">
        <v>84</v>
      </c>
      <c r="AT55" s="69">
        <v>85</v>
      </c>
      <c r="AU55" s="69">
        <v>86</v>
      </c>
      <c r="AV55" s="69">
        <v>87</v>
      </c>
      <c r="AW55" s="69">
        <v>88</v>
      </c>
      <c r="AX55" s="69"/>
      <c r="AY55" s="57"/>
    </row>
    <row r="56" spans="2:52" ht="105" customHeight="1" x14ac:dyDescent="0.55000000000000004">
      <c r="F56" s="71" t="str">
        <f>'PF176'!AA54</f>
        <v>VDDD</v>
      </c>
      <c r="G56" s="72">
        <f>'PF176'!AA55</f>
        <v>0</v>
      </c>
      <c r="H56" s="72">
        <f>'PF176'!AA56</f>
        <v>0</v>
      </c>
      <c r="I56" s="72">
        <f>'PF176'!AA57</f>
        <v>0</v>
      </c>
      <c r="J56" s="72">
        <f>'PF176'!AA58</f>
        <v>0</v>
      </c>
      <c r="K56" s="72">
        <f>'PF176'!AA59</f>
        <v>0</v>
      </c>
      <c r="L56" s="72">
        <f>'PF176'!AA60</f>
        <v>0</v>
      </c>
      <c r="M56" s="72">
        <f>'PF176'!AA61</f>
        <v>0</v>
      </c>
      <c r="N56" s="72">
        <f>'PF176'!AA61</f>
        <v>0</v>
      </c>
      <c r="O56" s="72">
        <f>'PF176'!AA63</f>
        <v>0</v>
      </c>
      <c r="P56" s="72">
        <f>'PF176'!AA64</f>
        <v>0</v>
      </c>
      <c r="Q56" s="72">
        <f>'PF176'!AA65</f>
        <v>0</v>
      </c>
      <c r="R56" s="72">
        <f>'PF176'!AA66</f>
        <v>0</v>
      </c>
      <c r="S56" s="72">
        <f>'PF176'!AA67</f>
        <v>0</v>
      </c>
      <c r="T56" s="72">
        <f>'PF176'!AA68</f>
        <v>0</v>
      </c>
      <c r="U56" s="72">
        <f>'PF176'!AA69</f>
        <v>0</v>
      </c>
      <c r="V56" s="72">
        <f>'PF176'!AA70</f>
        <v>0</v>
      </c>
      <c r="W56" s="72">
        <f>'PF176'!AA71</f>
        <v>0</v>
      </c>
      <c r="X56" s="72">
        <f>'PF176'!AA72</f>
        <v>0</v>
      </c>
      <c r="Y56" s="72">
        <f>'PF176'!AA73</f>
        <v>0</v>
      </c>
      <c r="Z56" s="72">
        <f>'PF176'!AA74</f>
        <v>0</v>
      </c>
      <c r="AA56" s="71" t="str">
        <f>'PF176'!AA75</f>
        <v>VDDD</v>
      </c>
      <c r="AB56" s="70" t="str">
        <f>'PF176'!AA76</f>
        <v>VSSD</v>
      </c>
      <c r="AC56" s="72">
        <f>'PF176'!AA77</f>
        <v>0</v>
      </c>
      <c r="AD56" s="72">
        <f>'PF176'!AA78</f>
        <v>0</v>
      </c>
      <c r="AE56" s="72">
        <f>'PF176'!AA79</f>
        <v>0</v>
      </c>
      <c r="AF56" s="72">
        <f>'PF176'!AA80</f>
        <v>0</v>
      </c>
      <c r="AG56" s="72">
        <f>'PF176'!AA81</f>
        <v>0</v>
      </c>
      <c r="AH56" s="72">
        <f>'PF176'!AA82</f>
        <v>0</v>
      </c>
      <c r="AI56" s="72">
        <f>'PF176'!AA83</f>
        <v>0</v>
      </c>
      <c r="AJ56" s="72">
        <f>'PF176'!AA84</f>
        <v>0</v>
      </c>
      <c r="AK56" s="72">
        <f>'PF176'!AA85</f>
        <v>0</v>
      </c>
      <c r="AL56" s="72">
        <f>'PF176'!AA86</f>
        <v>0</v>
      </c>
      <c r="AM56" s="72">
        <f>'PF176'!AA87</f>
        <v>0</v>
      </c>
      <c r="AN56" s="72">
        <f>'PF176'!AA88</f>
        <v>0</v>
      </c>
      <c r="AO56" s="72">
        <f>'PF176'!AA89</f>
        <v>0</v>
      </c>
      <c r="AP56" s="72">
        <f>'PF176'!AA90</f>
        <v>0</v>
      </c>
      <c r="AQ56" s="72">
        <f>'PF176'!AA91</f>
        <v>0</v>
      </c>
      <c r="AR56" s="72">
        <f>'PF176'!AA92</f>
        <v>0</v>
      </c>
      <c r="AS56" s="72">
        <f>'PF176'!AA93</f>
        <v>0</v>
      </c>
      <c r="AT56" s="72">
        <f>'PF176'!AA94</f>
        <v>0</v>
      </c>
      <c r="AU56" s="72">
        <f>'PF176'!AA95</f>
        <v>0</v>
      </c>
      <c r="AV56" s="72">
        <f>'PF176'!AA96</f>
        <v>0</v>
      </c>
      <c r="AW56" s="71" t="str">
        <f>'PF176'!AA97</f>
        <v>VDDD</v>
      </c>
    </row>
    <row r="67" spans="4:51" ht="15" customHeight="1" x14ac:dyDescent="0.55000000000000004">
      <c r="D67" s="165" t="s">
        <v>653</v>
      </c>
      <c r="E67" s="165"/>
      <c r="F67" s="165"/>
      <c r="G67" s="165"/>
      <c r="H67" s="165"/>
      <c r="I67" s="165"/>
      <c r="J67" s="165"/>
      <c r="K67" s="165"/>
      <c r="L67" s="165"/>
      <c r="M67" s="165"/>
      <c r="N67" s="165"/>
      <c r="O67" s="165"/>
      <c r="P67" s="165"/>
      <c r="Q67" s="165"/>
      <c r="R67" s="165"/>
      <c r="S67" s="165"/>
      <c r="T67" s="165"/>
      <c r="U67" s="165"/>
      <c r="V67" s="165"/>
      <c r="W67" s="165"/>
      <c r="X67" s="165"/>
      <c r="Y67" s="165"/>
      <c r="Z67" s="165"/>
      <c r="AA67" s="165"/>
      <c r="AB67" s="165"/>
      <c r="AC67" s="165"/>
      <c r="AD67" s="165"/>
      <c r="AE67" s="165"/>
      <c r="AF67" s="165"/>
      <c r="AG67" s="165"/>
      <c r="AH67" s="165"/>
      <c r="AI67" s="165"/>
      <c r="AJ67" s="165"/>
      <c r="AK67" s="165"/>
      <c r="AL67" s="165"/>
      <c r="AM67" s="165"/>
      <c r="AN67" s="165"/>
      <c r="AO67" s="165"/>
      <c r="AP67" s="165"/>
      <c r="AQ67" s="165"/>
      <c r="AR67" s="165"/>
      <c r="AS67" s="165"/>
      <c r="AT67" s="165"/>
      <c r="AU67" s="165"/>
      <c r="AV67" s="165"/>
      <c r="AW67" s="165"/>
      <c r="AX67" s="165"/>
      <c r="AY67" s="165"/>
    </row>
    <row r="68" spans="4:51" ht="214" customHeight="1" x14ac:dyDescent="0.55000000000000004">
      <c r="D68" s="160" t="s">
        <v>654</v>
      </c>
      <c r="E68" s="160"/>
      <c r="F68" s="160"/>
      <c r="G68" s="160"/>
      <c r="H68" s="160"/>
      <c r="I68" s="160"/>
      <c r="J68" s="160"/>
      <c r="K68" s="160"/>
      <c r="L68" s="160"/>
      <c r="M68" s="160"/>
      <c r="N68" s="160"/>
      <c r="O68" s="160"/>
      <c r="P68" s="160"/>
      <c r="Q68" s="160"/>
      <c r="R68" s="160"/>
      <c r="S68" s="160"/>
      <c r="T68" s="160"/>
      <c r="U68" s="160"/>
      <c r="V68" s="160"/>
      <c r="W68" s="160"/>
      <c r="X68" s="160"/>
      <c r="Y68" s="160"/>
      <c r="Z68" s="160"/>
      <c r="AA68" s="160"/>
      <c r="AB68" s="160"/>
      <c r="AC68" s="160"/>
      <c r="AD68" s="160"/>
      <c r="AE68" s="160"/>
      <c r="AF68" s="160"/>
      <c r="AG68" s="160"/>
      <c r="AH68" s="160"/>
      <c r="AI68" s="160"/>
      <c r="AJ68" s="160"/>
      <c r="AK68" s="160"/>
      <c r="AL68" s="160"/>
      <c r="AM68" s="160"/>
      <c r="AN68" s="160"/>
      <c r="AO68" s="160"/>
      <c r="AP68" s="160"/>
      <c r="AQ68" s="160"/>
      <c r="AR68" s="160"/>
      <c r="AS68" s="160"/>
      <c r="AT68" s="160"/>
      <c r="AU68" s="160"/>
      <c r="AV68" s="160"/>
      <c r="AW68" s="160"/>
      <c r="AX68" s="160"/>
      <c r="AY68" s="160"/>
    </row>
  </sheetData>
  <sheetProtection algorithmName="SHA-512" hashValue="0v1I20cldT8WPaRnBg4xinoyGnVXYV5gXqPADAbApzPhiabkbdFPURz1TG5uUNFmeTu2L+t2yroT4c7lhQjDAQ==" saltValue="w2DgaxUFE6CfkVNvAZryqA==" spinCount="100000" sheet="1" objects="1" scenarios="1" formatCells="0" formatColumns="0" formatRows="0" insertColumns="0" insertRows="0" insertHyperlinks="0" deleteColumns="0" deleteRows="0" selectLockedCells="1" sort="0" autoFilter="0" pivotTables="0"/>
  <mergeCells count="3">
    <mergeCell ref="F10:AW53"/>
    <mergeCell ref="D67:AY67"/>
    <mergeCell ref="D68:AY68"/>
  </mergeCells>
  <phoneticPr fontId="3"/>
  <pageMargins left="0.7" right="0.7" top="0.75" bottom="0.75" header="0.3" footer="0.3"/>
  <pageSetup paperSize="9" orientation="portrait" r:id="rId1"/>
  <ignoredErrors>
    <ignoredError sqref="F8:AW8 C10:D51 F55:AW55 AY10:AZ30 C52:D53 F56 I56:AJ56 G56:H56 AO56:AW56 AK56:AN56 AY33:AZ53 AY31 AY32 AZ31:AZ32 F7:Z7 AE7:AW7 AC7:AD7 AA7:AB7" unlockedFormula="1"/>
  </ignoredError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F19C6-228E-4AB4-AD7C-C7F8A22F2646}">
  <dimension ref="A1:AL172"/>
  <sheetViews>
    <sheetView zoomScale="84" zoomScaleNormal="84" workbookViewId="0">
      <pane xSplit="2" topLeftCell="G1" activePane="topRight" state="frozen"/>
      <selection pane="topRight" activeCell="K2" sqref="K2"/>
    </sheetView>
  </sheetViews>
  <sheetFormatPr defaultColWidth="8.6640625" defaultRowHeight="10.25" customHeight="1" x14ac:dyDescent="0.55000000000000004"/>
  <cols>
    <col min="1" max="1" width="4.58203125" style="4" customWidth="1"/>
    <col min="2" max="2" width="10" style="4" customWidth="1"/>
    <col min="3" max="3" width="3.5" style="4" bestFit="1" customWidth="1"/>
    <col min="4" max="4" width="9.58203125" style="4" customWidth="1"/>
    <col min="5" max="5" width="8.83203125" style="4" customWidth="1"/>
    <col min="6" max="7" width="11.08203125" style="4" customWidth="1"/>
    <col min="8" max="8" width="11.6640625" style="4" customWidth="1"/>
    <col min="9" max="9" width="15.33203125" style="4" bestFit="1" customWidth="1"/>
    <col min="10" max="10" width="15.5" style="4" bestFit="1" customWidth="1"/>
    <col min="11" max="11" width="12.08203125" style="4" customWidth="1"/>
    <col min="12" max="16" width="17.58203125" style="4" customWidth="1"/>
    <col min="17" max="24" width="14.08203125" style="4" customWidth="1"/>
    <col min="25" max="26" width="17.6640625" style="4" customWidth="1"/>
    <col min="27" max="27" width="16.4140625" style="4" bestFit="1" customWidth="1"/>
    <col min="28" max="28" width="16.4140625" style="4" customWidth="1"/>
    <col min="29" max="29" width="24.83203125" style="4" bestFit="1" customWidth="1"/>
    <col min="30" max="30" width="24.83203125" style="4" customWidth="1"/>
    <col min="31" max="31" width="9.33203125" style="51" bestFit="1" customWidth="1"/>
    <col min="32" max="32" width="9.25" style="51" bestFit="1" customWidth="1"/>
    <col min="33" max="34" width="12.58203125" style="4" customWidth="1"/>
    <col min="35" max="37" width="8.58203125" style="4" customWidth="1"/>
    <col min="38" max="38" width="8.6640625" style="2"/>
    <col min="39" max="16384" width="8.6640625" style="4"/>
  </cols>
  <sheetData>
    <row r="1" spans="1:38" ht="25" customHeight="1" x14ac:dyDescent="0.55000000000000004">
      <c r="A1" s="1" t="s">
        <v>250</v>
      </c>
    </row>
    <row r="2" spans="1:38" ht="25" customHeight="1" x14ac:dyDescent="0.55000000000000004">
      <c r="A2" s="1"/>
    </row>
    <row r="3" spans="1:38" ht="25" customHeight="1" x14ac:dyDescent="0.55000000000000004">
      <c r="A3" s="1"/>
    </row>
    <row r="4" spans="1:38" ht="25" customHeight="1" x14ac:dyDescent="0.55000000000000004">
      <c r="A4" s="1"/>
    </row>
    <row r="5" spans="1:38" ht="25" customHeight="1" x14ac:dyDescent="0.55000000000000004">
      <c r="A5" s="1"/>
      <c r="AH5" s="5"/>
      <c r="AK5" s="158" t="s">
        <v>1183</v>
      </c>
    </row>
    <row r="6" spans="1:38" ht="10.25" customHeight="1" x14ac:dyDescent="0.55000000000000004">
      <c r="B6" s="4" t="s">
        <v>347</v>
      </c>
      <c r="E6" s="4" t="s">
        <v>353</v>
      </c>
      <c r="F6" s="4" t="s">
        <v>353</v>
      </c>
      <c r="G6" s="4" t="s">
        <v>348</v>
      </c>
      <c r="H6" s="4" t="s">
        <v>350</v>
      </c>
      <c r="I6" s="4" t="s">
        <v>1051</v>
      </c>
      <c r="J6" s="4" t="s">
        <v>1052</v>
      </c>
      <c r="K6" s="4" t="s">
        <v>349</v>
      </c>
      <c r="L6" s="4" t="s">
        <v>1093</v>
      </c>
      <c r="M6" s="4" t="s">
        <v>1054</v>
      </c>
      <c r="N6" s="4" t="s">
        <v>1055</v>
      </c>
      <c r="O6" s="4" t="s">
        <v>1056</v>
      </c>
      <c r="P6" s="4" t="s">
        <v>1057</v>
      </c>
      <c r="Q6" s="4" t="s">
        <v>350</v>
      </c>
      <c r="R6" s="4" t="s">
        <v>350</v>
      </c>
      <c r="S6" s="4" t="s">
        <v>1059</v>
      </c>
      <c r="T6" s="4" t="s">
        <v>1060</v>
      </c>
      <c r="U6" s="4" t="s">
        <v>1060</v>
      </c>
      <c r="V6" s="4" t="s">
        <v>1055</v>
      </c>
      <c r="W6" s="4" t="s">
        <v>1057</v>
      </c>
      <c r="X6" s="4" t="s">
        <v>351</v>
      </c>
      <c r="Y6" s="4" t="s">
        <v>352</v>
      </c>
      <c r="AL6" s="4"/>
    </row>
    <row r="7" spans="1:38" ht="10.25" customHeight="1" x14ac:dyDescent="0.55000000000000004">
      <c r="B7" s="120" t="s">
        <v>0</v>
      </c>
      <c r="C7" s="120" t="s">
        <v>178</v>
      </c>
      <c r="D7" s="118" t="s">
        <v>256</v>
      </c>
      <c r="E7" s="6"/>
      <c r="F7" s="7"/>
      <c r="G7" s="7"/>
      <c r="H7" s="7"/>
      <c r="I7" s="119" t="s">
        <v>1</v>
      </c>
      <c r="J7" s="119"/>
      <c r="K7" s="119"/>
      <c r="L7" s="7"/>
      <c r="M7" s="7"/>
      <c r="N7" s="7"/>
      <c r="O7" s="7"/>
      <c r="P7" s="7"/>
      <c r="Q7" s="8"/>
      <c r="R7" s="8"/>
      <c r="S7" s="8"/>
      <c r="T7" s="118" t="s">
        <v>243</v>
      </c>
      <c r="U7" s="118"/>
      <c r="V7" s="118"/>
      <c r="W7" s="118"/>
      <c r="X7" s="118"/>
      <c r="Y7" s="99" t="s">
        <v>1028</v>
      </c>
      <c r="Z7" s="147"/>
      <c r="AA7" s="111" t="s">
        <v>184</v>
      </c>
      <c r="AB7" s="112"/>
      <c r="AC7" s="112"/>
      <c r="AD7" s="101" t="s">
        <v>634</v>
      </c>
      <c r="AE7" s="114" t="s">
        <v>362</v>
      </c>
      <c r="AF7" s="115"/>
      <c r="AG7" s="106" t="s">
        <v>255</v>
      </c>
      <c r="AH7" s="107"/>
    </row>
    <row r="8" spans="1:38" ht="10.25" customHeight="1" x14ac:dyDescent="0.55000000000000004">
      <c r="B8" s="120"/>
      <c r="C8" s="120"/>
      <c r="D8" s="118"/>
      <c r="E8" s="96" t="s">
        <v>245</v>
      </c>
      <c r="F8" s="96" t="s">
        <v>2</v>
      </c>
      <c r="G8" s="96" t="s">
        <v>3</v>
      </c>
      <c r="H8" s="96" t="s">
        <v>4</v>
      </c>
      <c r="I8" s="96" t="s">
        <v>5</v>
      </c>
      <c r="J8" s="96" t="s">
        <v>6</v>
      </c>
      <c r="K8" s="96" t="s">
        <v>7</v>
      </c>
      <c r="L8" s="96" t="s">
        <v>660</v>
      </c>
      <c r="M8" s="96" t="s">
        <v>661</v>
      </c>
      <c r="N8" s="96" t="s">
        <v>601</v>
      </c>
      <c r="O8" s="96" t="s">
        <v>662</v>
      </c>
      <c r="P8" s="96" t="s">
        <v>663</v>
      </c>
      <c r="Q8" s="96" t="s">
        <v>664</v>
      </c>
      <c r="R8" s="96" t="s">
        <v>8</v>
      </c>
      <c r="S8" s="96" t="s">
        <v>9</v>
      </c>
      <c r="T8" s="96" t="s">
        <v>888</v>
      </c>
      <c r="U8" s="96" t="s">
        <v>1025</v>
      </c>
      <c r="V8" s="96" t="s">
        <v>186</v>
      </c>
      <c r="W8" s="96" t="s">
        <v>889</v>
      </c>
      <c r="X8" s="96" t="s">
        <v>890</v>
      </c>
      <c r="Y8" s="99"/>
      <c r="Z8" s="147"/>
      <c r="AA8" s="108" t="s">
        <v>185</v>
      </c>
      <c r="AB8" s="108" t="s">
        <v>633</v>
      </c>
      <c r="AC8" s="109" t="s">
        <v>253</v>
      </c>
      <c r="AD8" s="102"/>
      <c r="AE8" s="116" t="s">
        <v>361</v>
      </c>
      <c r="AF8" s="116" t="s">
        <v>359</v>
      </c>
      <c r="AG8" s="104" t="s">
        <v>631</v>
      </c>
      <c r="AH8" s="104" t="s">
        <v>632</v>
      </c>
    </row>
    <row r="9" spans="1:38" ht="10.25" customHeight="1" x14ac:dyDescent="0.55000000000000004">
      <c r="B9" s="120"/>
      <c r="C9" s="120"/>
      <c r="D9" s="118"/>
      <c r="E9" s="96" t="s">
        <v>246</v>
      </c>
      <c r="F9" s="96" t="s">
        <v>10</v>
      </c>
      <c r="G9" s="96" t="s">
        <v>11</v>
      </c>
      <c r="H9" s="96" t="s">
        <v>12</v>
      </c>
      <c r="I9" s="96" t="s">
        <v>13</v>
      </c>
      <c r="J9" s="96" t="s">
        <v>14</v>
      </c>
      <c r="K9" s="96" t="s">
        <v>15</v>
      </c>
      <c r="L9" s="96" t="s">
        <v>16</v>
      </c>
      <c r="M9" s="96" t="s">
        <v>17</v>
      </c>
      <c r="N9" s="96" t="s">
        <v>18</v>
      </c>
      <c r="O9" s="96" t="s">
        <v>665</v>
      </c>
      <c r="P9" s="96" t="s">
        <v>666</v>
      </c>
      <c r="Q9" s="96" t="s">
        <v>667</v>
      </c>
      <c r="R9" s="96" t="s">
        <v>668</v>
      </c>
      <c r="S9" s="96" t="s">
        <v>600</v>
      </c>
      <c r="T9" s="96" t="s">
        <v>244</v>
      </c>
      <c r="U9" s="96" t="s">
        <v>187</v>
      </c>
      <c r="V9" s="96" t="s">
        <v>188</v>
      </c>
      <c r="W9" s="96" t="s">
        <v>891</v>
      </c>
      <c r="X9" s="96" t="s">
        <v>892</v>
      </c>
      <c r="Y9" s="100"/>
      <c r="Z9" s="148"/>
      <c r="AA9" s="108"/>
      <c r="AB9" s="108"/>
      <c r="AC9" s="110"/>
      <c r="AD9" s="103"/>
      <c r="AE9" s="117"/>
      <c r="AF9" s="117"/>
      <c r="AG9" s="105"/>
      <c r="AH9" s="105"/>
    </row>
    <row r="10" spans="1:38" ht="10.25" customHeight="1" x14ac:dyDescent="0.55000000000000004">
      <c r="B10" s="9" t="s">
        <v>989</v>
      </c>
      <c r="C10" s="10">
        <v>1</v>
      </c>
      <c r="D10" s="11" t="s">
        <v>190</v>
      </c>
      <c r="E10" s="11" t="s">
        <v>190</v>
      </c>
      <c r="F10" s="11" t="s">
        <v>190</v>
      </c>
      <c r="G10" s="11" t="s">
        <v>190</v>
      </c>
      <c r="H10" s="11" t="s">
        <v>190</v>
      </c>
      <c r="I10" s="11" t="s">
        <v>190</v>
      </c>
      <c r="J10" s="11" t="s">
        <v>190</v>
      </c>
      <c r="K10" s="11" t="s">
        <v>190</v>
      </c>
      <c r="L10" s="11" t="s">
        <v>190</v>
      </c>
      <c r="M10" s="11" t="s">
        <v>190</v>
      </c>
      <c r="N10" s="11" t="s">
        <v>190</v>
      </c>
      <c r="O10" s="11" t="s">
        <v>190</v>
      </c>
      <c r="P10" s="11" t="s">
        <v>190</v>
      </c>
      <c r="Q10" s="11" t="s">
        <v>190</v>
      </c>
      <c r="R10" s="11" t="s">
        <v>190</v>
      </c>
      <c r="S10" s="11" t="s">
        <v>190</v>
      </c>
      <c r="T10" s="11" t="s">
        <v>190</v>
      </c>
      <c r="U10" s="11" t="s">
        <v>190</v>
      </c>
      <c r="V10" s="11" t="s">
        <v>190</v>
      </c>
      <c r="W10" s="11" t="s">
        <v>190</v>
      </c>
      <c r="X10" s="11" t="s">
        <v>190</v>
      </c>
      <c r="Y10" s="11" t="s">
        <v>190</v>
      </c>
      <c r="Z10" s="11" t="s">
        <v>190</v>
      </c>
      <c r="AA10" s="9" t="str">
        <f>B10</f>
        <v>VSSIO_HSIO</v>
      </c>
      <c r="AB10" s="11" t="s">
        <v>190</v>
      </c>
      <c r="AC10" s="12"/>
      <c r="AD10" s="12" t="s">
        <v>1029</v>
      </c>
      <c r="AE10" s="33" t="s">
        <v>360</v>
      </c>
      <c r="AF10" s="33" t="s">
        <v>360</v>
      </c>
      <c r="AG10" s="12"/>
      <c r="AH10" s="12"/>
    </row>
    <row r="11" spans="1:38" ht="10.25" customHeight="1" x14ac:dyDescent="0.55000000000000004">
      <c r="B11" s="14" t="s">
        <v>1071</v>
      </c>
      <c r="C11" s="52">
        <v>2</v>
      </c>
      <c r="D11" s="13" t="s">
        <v>996</v>
      </c>
      <c r="E11" s="11" t="s">
        <v>190</v>
      </c>
      <c r="F11" s="11" t="s">
        <v>190</v>
      </c>
      <c r="G11" s="11" t="s">
        <v>190</v>
      </c>
      <c r="H11" s="11" t="s">
        <v>190</v>
      </c>
      <c r="I11" s="11" t="s">
        <v>190</v>
      </c>
      <c r="J11" s="11" t="s">
        <v>190</v>
      </c>
      <c r="K11" s="11" t="s">
        <v>190</v>
      </c>
      <c r="L11" s="11" t="s">
        <v>190</v>
      </c>
      <c r="M11" s="11" t="s">
        <v>190</v>
      </c>
      <c r="N11" s="14" t="s">
        <v>763</v>
      </c>
      <c r="O11" s="14" t="s">
        <v>764</v>
      </c>
      <c r="P11" s="14" t="s">
        <v>975</v>
      </c>
      <c r="Q11" s="11" t="s">
        <v>190</v>
      </c>
      <c r="R11" s="14" t="s">
        <v>795</v>
      </c>
      <c r="S11" s="14" t="s">
        <v>765</v>
      </c>
      <c r="T11" s="11" t="s">
        <v>190</v>
      </c>
      <c r="U11" s="11" t="s">
        <v>190</v>
      </c>
      <c r="V11" s="11" t="s">
        <v>190</v>
      </c>
      <c r="W11" s="11" t="s">
        <v>190</v>
      </c>
      <c r="X11" s="11" t="s">
        <v>190</v>
      </c>
      <c r="Y11" s="11" t="s">
        <v>190</v>
      </c>
      <c r="Z11" s="11" t="s">
        <v>190</v>
      </c>
      <c r="AA11" s="15"/>
      <c r="AB11" s="11" t="s">
        <v>190</v>
      </c>
      <c r="AC11" s="12" t="s">
        <v>1182</v>
      </c>
      <c r="AD11" s="12"/>
      <c r="AE11" s="13" t="s">
        <v>1041</v>
      </c>
      <c r="AF11" s="14" t="s">
        <v>990</v>
      </c>
      <c r="AG11" s="12"/>
      <c r="AH11" s="12"/>
    </row>
    <row r="12" spans="1:38" ht="10.25" customHeight="1" x14ac:dyDescent="0.55000000000000004">
      <c r="B12" s="14" t="s">
        <v>98</v>
      </c>
      <c r="C12" s="52">
        <v>3</v>
      </c>
      <c r="D12" s="13" t="s">
        <v>98</v>
      </c>
      <c r="E12" s="11" t="s">
        <v>190</v>
      </c>
      <c r="F12" s="11" t="s">
        <v>190</v>
      </c>
      <c r="G12" s="11" t="s">
        <v>190</v>
      </c>
      <c r="H12" s="11" t="s">
        <v>190</v>
      </c>
      <c r="I12" s="11" t="s">
        <v>190</v>
      </c>
      <c r="J12" s="11" t="s">
        <v>190</v>
      </c>
      <c r="K12" s="11" t="s">
        <v>190</v>
      </c>
      <c r="L12" s="11" t="s">
        <v>190</v>
      </c>
      <c r="M12" s="11" t="s">
        <v>190</v>
      </c>
      <c r="N12" s="14" t="s">
        <v>766</v>
      </c>
      <c r="O12" s="14" t="s">
        <v>767</v>
      </c>
      <c r="P12" s="14" t="s">
        <v>976</v>
      </c>
      <c r="Q12" s="11" t="s">
        <v>190</v>
      </c>
      <c r="R12" s="11" t="s">
        <v>190</v>
      </c>
      <c r="S12" s="14" t="s">
        <v>768</v>
      </c>
      <c r="T12" s="11" t="s">
        <v>190</v>
      </c>
      <c r="U12" s="11" t="s">
        <v>190</v>
      </c>
      <c r="V12" s="11" t="s">
        <v>190</v>
      </c>
      <c r="W12" s="11" t="s">
        <v>190</v>
      </c>
      <c r="X12" s="11" t="s">
        <v>190</v>
      </c>
      <c r="Y12" s="11" t="s">
        <v>190</v>
      </c>
      <c r="Z12" s="11" t="s">
        <v>190</v>
      </c>
      <c r="AA12" s="17"/>
      <c r="AB12" s="11" t="s">
        <v>190</v>
      </c>
      <c r="AC12" s="12" t="s">
        <v>1182</v>
      </c>
      <c r="AD12" s="12"/>
      <c r="AE12" s="13" t="s">
        <v>1041</v>
      </c>
      <c r="AF12" s="14" t="s">
        <v>990</v>
      </c>
      <c r="AG12" s="12"/>
      <c r="AH12" s="12"/>
    </row>
    <row r="13" spans="1:38" ht="10.25" customHeight="1" x14ac:dyDescent="0.55000000000000004">
      <c r="B13" s="14" t="s">
        <v>100</v>
      </c>
      <c r="C13" s="52">
        <v>4</v>
      </c>
      <c r="D13" s="13" t="s">
        <v>100</v>
      </c>
      <c r="E13" s="11" t="s">
        <v>190</v>
      </c>
      <c r="F13" s="11" t="s">
        <v>190</v>
      </c>
      <c r="G13" s="11" t="s">
        <v>190</v>
      </c>
      <c r="H13" s="11" t="s">
        <v>190</v>
      </c>
      <c r="I13" s="11" t="s">
        <v>190</v>
      </c>
      <c r="J13" s="11" t="s">
        <v>190</v>
      </c>
      <c r="K13" s="11" t="s">
        <v>190</v>
      </c>
      <c r="L13" s="11" t="s">
        <v>190</v>
      </c>
      <c r="M13" s="11" t="s">
        <v>190</v>
      </c>
      <c r="N13" s="14" t="s">
        <v>769</v>
      </c>
      <c r="O13" s="14" t="s">
        <v>770</v>
      </c>
      <c r="P13" s="11" t="s">
        <v>190</v>
      </c>
      <c r="Q13" s="11" t="s">
        <v>190</v>
      </c>
      <c r="R13" s="11" t="s">
        <v>190</v>
      </c>
      <c r="S13" s="14" t="s">
        <v>1058</v>
      </c>
      <c r="T13" s="11" t="s">
        <v>190</v>
      </c>
      <c r="U13" s="11" t="s">
        <v>190</v>
      </c>
      <c r="V13" s="11" t="s">
        <v>190</v>
      </c>
      <c r="W13" s="11" t="s">
        <v>190</v>
      </c>
      <c r="X13" s="11" t="s">
        <v>190</v>
      </c>
      <c r="Y13" s="11" t="s">
        <v>190</v>
      </c>
      <c r="Z13" s="11" t="s">
        <v>190</v>
      </c>
      <c r="AA13" s="17"/>
      <c r="AB13" s="11" t="s">
        <v>190</v>
      </c>
      <c r="AC13" s="12" t="s">
        <v>1182</v>
      </c>
      <c r="AD13" s="12"/>
      <c r="AE13" s="13" t="s">
        <v>1041</v>
      </c>
      <c r="AF13" s="14" t="s">
        <v>990</v>
      </c>
      <c r="AG13" s="12"/>
      <c r="AH13" s="12"/>
    </row>
    <row r="14" spans="1:38" ht="10.25" customHeight="1" x14ac:dyDescent="0.55000000000000004">
      <c r="B14" s="14" t="s">
        <v>102</v>
      </c>
      <c r="C14" s="52">
        <v>5</v>
      </c>
      <c r="D14" s="13" t="s">
        <v>102</v>
      </c>
      <c r="E14" s="11" t="s">
        <v>190</v>
      </c>
      <c r="F14" s="11" t="s">
        <v>190</v>
      </c>
      <c r="G14" s="11" t="s">
        <v>190</v>
      </c>
      <c r="H14" s="11" t="s">
        <v>190</v>
      </c>
      <c r="I14" s="11" t="s">
        <v>190</v>
      </c>
      <c r="J14" s="11" t="s">
        <v>190</v>
      </c>
      <c r="K14" s="11" t="s">
        <v>190</v>
      </c>
      <c r="L14" s="11" t="s">
        <v>190</v>
      </c>
      <c r="M14" s="11" t="s">
        <v>190</v>
      </c>
      <c r="N14" s="14" t="s">
        <v>771</v>
      </c>
      <c r="O14" s="14" t="s">
        <v>772</v>
      </c>
      <c r="P14" s="11" t="s">
        <v>190</v>
      </c>
      <c r="Q14" s="11" t="s">
        <v>190</v>
      </c>
      <c r="R14" s="11" t="s">
        <v>190</v>
      </c>
      <c r="S14" s="14" t="s">
        <v>773</v>
      </c>
      <c r="T14" s="11" t="s">
        <v>190</v>
      </c>
      <c r="U14" s="11" t="s">
        <v>190</v>
      </c>
      <c r="V14" s="11" t="s">
        <v>190</v>
      </c>
      <c r="W14" s="11" t="s">
        <v>190</v>
      </c>
      <c r="X14" s="11" t="s">
        <v>190</v>
      </c>
      <c r="Y14" s="11" t="s">
        <v>190</v>
      </c>
      <c r="Z14" s="11" t="s">
        <v>190</v>
      </c>
      <c r="AA14" s="17"/>
      <c r="AB14" s="11" t="s">
        <v>190</v>
      </c>
      <c r="AC14" s="12" t="s">
        <v>1182</v>
      </c>
      <c r="AD14" s="12"/>
      <c r="AE14" s="13" t="s">
        <v>1041</v>
      </c>
      <c r="AF14" s="14" t="s">
        <v>990</v>
      </c>
      <c r="AG14" s="12"/>
      <c r="AH14" s="12"/>
    </row>
    <row r="15" spans="1:38" ht="10.25" customHeight="1" x14ac:dyDescent="0.55000000000000004">
      <c r="B15" s="9" t="s">
        <v>989</v>
      </c>
      <c r="C15" s="10">
        <v>6</v>
      </c>
      <c r="D15" s="11" t="s">
        <v>190</v>
      </c>
      <c r="E15" s="11" t="s">
        <v>190</v>
      </c>
      <c r="F15" s="11" t="s">
        <v>190</v>
      </c>
      <c r="G15" s="11" t="s">
        <v>190</v>
      </c>
      <c r="H15" s="11" t="s">
        <v>190</v>
      </c>
      <c r="I15" s="11" t="s">
        <v>190</v>
      </c>
      <c r="J15" s="11" t="s">
        <v>190</v>
      </c>
      <c r="K15" s="11" t="s">
        <v>190</v>
      </c>
      <c r="L15" s="11" t="s">
        <v>190</v>
      </c>
      <c r="M15" s="11" t="s">
        <v>190</v>
      </c>
      <c r="N15" s="11" t="s">
        <v>190</v>
      </c>
      <c r="O15" s="11" t="s">
        <v>190</v>
      </c>
      <c r="P15" s="11" t="s">
        <v>190</v>
      </c>
      <c r="Q15" s="11" t="s">
        <v>190</v>
      </c>
      <c r="R15" s="11" t="s">
        <v>190</v>
      </c>
      <c r="S15" s="11" t="s">
        <v>190</v>
      </c>
      <c r="T15" s="11" t="s">
        <v>190</v>
      </c>
      <c r="U15" s="11" t="s">
        <v>190</v>
      </c>
      <c r="V15" s="11" t="s">
        <v>190</v>
      </c>
      <c r="W15" s="11" t="s">
        <v>190</v>
      </c>
      <c r="X15" s="11" t="s">
        <v>190</v>
      </c>
      <c r="Y15" s="11" t="s">
        <v>190</v>
      </c>
      <c r="Z15" s="11" t="s">
        <v>190</v>
      </c>
      <c r="AA15" s="9" t="s">
        <v>989</v>
      </c>
      <c r="AB15" s="11" t="s">
        <v>190</v>
      </c>
      <c r="AC15" s="12"/>
      <c r="AD15" s="12" t="s">
        <v>1029</v>
      </c>
      <c r="AE15" s="13" t="s">
        <v>360</v>
      </c>
      <c r="AF15" s="14" t="s">
        <v>360</v>
      </c>
      <c r="AG15" s="12"/>
      <c r="AH15" s="12"/>
    </row>
    <row r="16" spans="1:38" ht="10.25" customHeight="1" x14ac:dyDescent="0.55000000000000004">
      <c r="B16" s="16" t="s">
        <v>990</v>
      </c>
      <c r="C16" s="10">
        <v>7</v>
      </c>
      <c r="D16" s="11" t="s">
        <v>190</v>
      </c>
      <c r="E16" s="11" t="s">
        <v>190</v>
      </c>
      <c r="F16" s="11" t="s">
        <v>190</v>
      </c>
      <c r="G16" s="11" t="s">
        <v>190</v>
      </c>
      <c r="H16" s="11" t="s">
        <v>190</v>
      </c>
      <c r="I16" s="11" t="s">
        <v>190</v>
      </c>
      <c r="J16" s="11" t="s">
        <v>190</v>
      </c>
      <c r="K16" s="11" t="s">
        <v>190</v>
      </c>
      <c r="L16" s="11" t="s">
        <v>190</v>
      </c>
      <c r="M16" s="11" t="s">
        <v>190</v>
      </c>
      <c r="N16" s="11" t="s">
        <v>190</v>
      </c>
      <c r="O16" s="11" t="s">
        <v>190</v>
      </c>
      <c r="P16" s="11" t="s">
        <v>190</v>
      </c>
      <c r="Q16" s="11" t="s">
        <v>190</v>
      </c>
      <c r="R16" s="11" t="s">
        <v>190</v>
      </c>
      <c r="S16" s="11" t="s">
        <v>190</v>
      </c>
      <c r="T16" s="11" t="s">
        <v>190</v>
      </c>
      <c r="U16" s="11" t="s">
        <v>190</v>
      </c>
      <c r="V16" s="11" t="s">
        <v>190</v>
      </c>
      <c r="W16" s="11" t="s">
        <v>190</v>
      </c>
      <c r="X16" s="11" t="s">
        <v>190</v>
      </c>
      <c r="Y16" s="11" t="s">
        <v>190</v>
      </c>
      <c r="Z16" s="11" t="s">
        <v>190</v>
      </c>
      <c r="AA16" s="16" t="s">
        <v>990</v>
      </c>
      <c r="AB16" s="11" t="s">
        <v>190</v>
      </c>
      <c r="AC16" s="12"/>
      <c r="AD16" s="12" t="s">
        <v>1030</v>
      </c>
      <c r="AE16" s="13" t="s">
        <v>360</v>
      </c>
      <c r="AF16" s="14" t="s">
        <v>360</v>
      </c>
      <c r="AG16" s="12"/>
      <c r="AH16" s="12"/>
    </row>
    <row r="17" spans="2:34" ht="10.25" customHeight="1" x14ac:dyDescent="0.55000000000000004">
      <c r="B17" s="14" t="s">
        <v>1072</v>
      </c>
      <c r="C17" s="52">
        <v>8</v>
      </c>
      <c r="D17" s="13" t="s">
        <v>997</v>
      </c>
      <c r="E17" s="11" t="s">
        <v>190</v>
      </c>
      <c r="F17" s="11" t="s">
        <v>190</v>
      </c>
      <c r="G17" s="11" t="s">
        <v>190</v>
      </c>
      <c r="H17" s="11" t="s">
        <v>190</v>
      </c>
      <c r="I17" s="11" t="s">
        <v>190</v>
      </c>
      <c r="J17" s="11" t="s">
        <v>190</v>
      </c>
      <c r="K17" s="11" t="s">
        <v>190</v>
      </c>
      <c r="L17" s="11" t="s">
        <v>190</v>
      </c>
      <c r="M17" s="11" t="s">
        <v>190</v>
      </c>
      <c r="N17" s="14" t="s">
        <v>774</v>
      </c>
      <c r="O17" s="11" t="s">
        <v>190</v>
      </c>
      <c r="P17" s="11" t="s">
        <v>190</v>
      </c>
      <c r="Q17" s="11" t="s">
        <v>190</v>
      </c>
      <c r="R17" s="11" t="s">
        <v>190</v>
      </c>
      <c r="S17" s="14" t="s">
        <v>775</v>
      </c>
      <c r="T17" s="11" t="s">
        <v>190</v>
      </c>
      <c r="U17" s="11" t="s">
        <v>190</v>
      </c>
      <c r="V17" s="11" t="s">
        <v>190</v>
      </c>
      <c r="W17" s="11" t="s">
        <v>190</v>
      </c>
      <c r="X17" s="11" t="s">
        <v>190</v>
      </c>
      <c r="Y17" s="11" t="s">
        <v>190</v>
      </c>
      <c r="Z17" s="11" t="s">
        <v>190</v>
      </c>
      <c r="AA17" s="17"/>
      <c r="AB17" s="11" t="s">
        <v>190</v>
      </c>
      <c r="AC17" s="12" t="s">
        <v>1182</v>
      </c>
      <c r="AD17" s="12"/>
      <c r="AE17" s="13" t="s">
        <v>1041</v>
      </c>
      <c r="AF17" s="14" t="s">
        <v>990</v>
      </c>
      <c r="AG17" s="12"/>
      <c r="AH17" s="12"/>
    </row>
    <row r="18" spans="2:34" ht="10.25" customHeight="1" x14ac:dyDescent="0.55000000000000004">
      <c r="B18" s="14" t="s">
        <v>776</v>
      </c>
      <c r="C18" s="52">
        <v>9</v>
      </c>
      <c r="D18" s="13" t="s">
        <v>776</v>
      </c>
      <c r="E18" s="11" t="s">
        <v>190</v>
      </c>
      <c r="F18" s="11" t="s">
        <v>190</v>
      </c>
      <c r="G18" s="11" t="s">
        <v>190</v>
      </c>
      <c r="H18" s="11" t="s">
        <v>190</v>
      </c>
      <c r="I18" s="11" t="s">
        <v>190</v>
      </c>
      <c r="J18" s="11" t="s">
        <v>190</v>
      </c>
      <c r="K18" s="11" t="s">
        <v>190</v>
      </c>
      <c r="L18" s="11" t="s">
        <v>190</v>
      </c>
      <c r="M18" s="11" t="s">
        <v>190</v>
      </c>
      <c r="N18" s="11" t="s">
        <v>190</v>
      </c>
      <c r="O18" s="11" t="s">
        <v>190</v>
      </c>
      <c r="P18" s="11" t="s">
        <v>190</v>
      </c>
      <c r="Q18" s="11" t="s">
        <v>190</v>
      </c>
      <c r="R18" s="14" t="s">
        <v>175</v>
      </c>
      <c r="S18" s="14" t="s">
        <v>777</v>
      </c>
      <c r="T18" s="11" t="s">
        <v>190</v>
      </c>
      <c r="U18" s="11" t="s">
        <v>190</v>
      </c>
      <c r="V18" s="11" t="s">
        <v>190</v>
      </c>
      <c r="W18" s="11" t="s">
        <v>190</v>
      </c>
      <c r="X18" s="11" t="s">
        <v>190</v>
      </c>
      <c r="Y18" s="11" t="s">
        <v>190</v>
      </c>
      <c r="Z18" s="11" t="s">
        <v>190</v>
      </c>
      <c r="AA18" s="17"/>
      <c r="AB18" s="11" t="s">
        <v>190</v>
      </c>
      <c r="AC18" s="12"/>
      <c r="AD18" s="12"/>
      <c r="AE18" s="13" t="s">
        <v>1041</v>
      </c>
      <c r="AF18" s="14" t="s">
        <v>990</v>
      </c>
      <c r="AG18" s="12"/>
      <c r="AH18" s="12"/>
    </row>
    <row r="19" spans="2:34" ht="10.25" customHeight="1" x14ac:dyDescent="0.55000000000000004">
      <c r="B19" s="14" t="s">
        <v>778</v>
      </c>
      <c r="C19" s="52">
        <v>10</v>
      </c>
      <c r="D19" s="13" t="s">
        <v>778</v>
      </c>
      <c r="E19" s="11" t="s">
        <v>190</v>
      </c>
      <c r="F19" s="11" t="s">
        <v>190</v>
      </c>
      <c r="G19" s="11" t="s">
        <v>190</v>
      </c>
      <c r="H19" s="11" t="s">
        <v>190</v>
      </c>
      <c r="I19" s="11" t="s">
        <v>190</v>
      </c>
      <c r="J19" s="11" t="s">
        <v>190</v>
      </c>
      <c r="K19" s="11" t="s">
        <v>190</v>
      </c>
      <c r="L19" s="11" t="s">
        <v>190</v>
      </c>
      <c r="M19" s="11" t="s">
        <v>190</v>
      </c>
      <c r="N19" s="14" t="s">
        <v>779</v>
      </c>
      <c r="O19" s="14" t="s">
        <v>780</v>
      </c>
      <c r="P19" s="14" t="s">
        <v>977</v>
      </c>
      <c r="Q19" s="11" t="s">
        <v>190</v>
      </c>
      <c r="R19" s="11" t="s">
        <v>190</v>
      </c>
      <c r="S19" s="14" t="s">
        <v>781</v>
      </c>
      <c r="T19" s="11" t="s">
        <v>190</v>
      </c>
      <c r="U19" s="11" t="s">
        <v>190</v>
      </c>
      <c r="V19" s="11" t="s">
        <v>190</v>
      </c>
      <c r="W19" s="11" t="s">
        <v>190</v>
      </c>
      <c r="X19" s="11" t="s">
        <v>190</v>
      </c>
      <c r="Y19" s="11" t="s">
        <v>190</v>
      </c>
      <c r="Z19" s="11" t="s">
        <v>190</v>
      </c>
      <c r="AA19" s="17"/>
      <c r="AB19" s="11" t="s">
        <v>190</v>
      </c>
      <c r="AC19" s="12" t="s">
        <v>1182</v>
      </c>
      <c r="AD19" s="12"/>
      <c r="AE19" s="13" t="s">
        <v>1041</v>
      </c>
      <c r="AF19" s="14" t="s">
        <v>990</v>
      </c>
      <c r="AG19" s="12"/>
      <c r="AH19" s="12"/>
    </row>
    <row r="20" spans="2:34" ht="10.25" customHeight="1" x14ac:dyDescent="0.55000000000000004">
      <c r="B20" s="14" t="s">
        <v>782</v>
      </c>
      <c r="C20" s="52">
        <v>11</v>
      </c>
      <c r="D20" s="13" t="s">
        <v>782</v>
      </c>
      <c r="E20" s="11" t="s">
        <v>190</v>
      </c>
      <c r="F20" s="11" t="s">
        <v>190</v>
      </c>
      <c r="G20" s="11" t="s">
        <v>190</v>
      </c>
      <c r="H20" s="11" t="s">
        <v>190</v>
      </c>
      <c r="I20" s="11" t="s">
        <v>190</v>
      </c>
      <c r="J20" s="11" t="s">
        <v>190</v>
      </c>
      <c r="K20" s="11" t="s">
        <v>190</v>
      </c>
      <c r="L20" s="11" t="s">
        <v>190</v>
      </c>
      <c r="M20" s="11" t="s">
        <v>190</v>
      </c>
      <c r="N20" s="14" t="s">
        <v>783</v>
      </c>
      <c r="O20" s="14" t="s">
        <v>784</v>
      </c>
      <c r="P20" s="14" t="s">
        <v>978</v>
      </c>
      <c r="Q20" s="11" t="s">
        <v>190</v>
      </c>
      <c r="R20" s="14" t="s">
        <v>659</v>
      </c>
      <c r="S20" s="14" t="s">
        <v>785</v>
      </c>
      <c r="T20" s="11" t="s">
        <v>190</v>
      </c>
      <c r="U20" s="11" t="s">
        <v>190</v>
      </c>
      <c r="V20" s="11" t="s">
        <v>190</v>
      </c>
      <c r="W20" s="11" t="s">
        <v>190</v>
      </c>
      <c r="X20" s="11" t="s">
        <v>190</v>
      </c>
      <c r="Y20" s="11" t="s">
        <v>190</v>
      </c>
      <c r="Z20" s="11" t="s">
        <v>190</v>
      </c>
      <c r="AA20" s="15"/>
      <c r="AB20" s="11" t="s">
        <v>190</v>
      </c>
      <c r="AC20" s="12" t="s">
        <v>1182</v>
      </c>
      <c r="AD20" s="12"/>
      <c r="AE20" s="13" t="s">
        <v>1041</v>
      </c>
      <c r="AF20" s="14" t="s">
        <v>990</v>
      </c>
      <c r="AG20" s="12"/>
      <c r="AH20" s="12"/>
    </row>
    <row r="21" spans="2:34" ht="10.25" customHeight="1" x14ac:dyDescent="0.55000000000000004">
      <c r="B21" s="9" t="s">
        <v>989</v>
      </c>
      <c r="C21" s="10">
        <v>12</v>
      </c>
      <c r="D21" s="11" t="s">
        <v>190</v>
      </c>
      <c r="E21" s="11" t="s">
        <v>190</v>
      </c>
      <c r="F21" s="11" t="s">
        <v>190</v>
      </c>
      <c r="G21" s="11" t="s">
        <v>190</v>
      </c>
      <c r="H21" s="11" t="s">
        <v>190</v>
      </c>
      <c r="I21" s="11" t="s">
        <v>190</v>
      </c>
      <c r="J21" s="11" t="s">
        <v>190</v>
      </c>
      <c r="K21" s="11" t="s">
        <v>190</v>
      </c>
      <c r="L21" s="11" t="s">
        <v>190</v>
      </c>
      <c r="M21" s="11" t="s">
        <v>190</v>
      </c>
      <c r="N21" s="11" t="s">
        <v>190</v>
      </c>
      <c r="O21" s="11" t="s">
        <v>190</v>
      </c>
      <c r="P21" s="11" t="s">
        <v>190</v>
      </c>
      <c r="Q21" s="11" t="s">
        <v>190</v>
      </c>
      <c r="R21" s="11" t="s">
        <v>190</v>
      </c>
      <c r="S21" s="11" t="s">
        <v>190</v>
      </c>
      <c r="T21" s="11" t="s">
        <v>190</v>
      </c>
      <c r="U21" s="11" t="s">
        <v>190</v>
      </c>
      <c r="V21" s="11" t="s">
        <v>190</v>
      </c>
      <c r="W21" s="11" t="s">
        <v>190</v>
      </c>
      <c r="X21" s="11" t="s">
        <v>190</v>
      </c>
      <c r="Y21" s="11" t="s">
        <v>190</v>
      </c>
      <c r="Z21" s="11" t="s">
        <v>190</v>
      </c>
      <c r="AA21" s="9" t="s">
        <v>989</v>
      </c>
      <c r="AB21" s="11" t="s">
        <v>190</v>
      </c>
      <c r="AC21" s="12"/>
      <c r="AD21" s="12" t="s">
        <v>1029</v>
      </c>
      <c r="AE21" s="13" t="s">
        <v>360</v>
      </c>
      <c r="AF21" s="14" t="s">
        <v>360</v>
      </c>
      <c r="AG21" s="12"/>
      <c r="AH21" s="12"/>
    </row>
    <row r="22" spans="2:34" ht="10.25" customHeight="1" x14ac:dyDescent="0.55000000000000004">
      <c r="B22" s="16" t="s">
        <v>990</v>
      </c>
      <c r="C22" s="10">
        <v>13</v>
      </c>
      <c r="D22" s="11" t="s">
        <v>190</v>
      </c>
      <c r="E22" s="11" t="s">
        <v>190</v>
      </c>
      <c r="F22" s="11" t="s">
        <v>190</v>
      </c>
      <c r="G22" s="11" t="s">
        <v>190</v>
      </c>
      <c r="H22" s="11" t="s">
        <v>190</v>
      </c>
      <c r="I22" s="11" t="s">
        <v>190</v>
      </c>
      <c r="J22" s="11" t="s">
        <v>190</v>
      </c>
      <c r="K22" s="11" t="s">
        <v>190</v>
      </c>
      <c r="L22" s="11" t="s">
        <v>190</v>
      </c>
      <c r="M22" s="11" t="s">
        <v>190</v>
      </c>
      <c r="N22" s="11" t="s">
        <v>190</v>
      </c>
      <c r="O22" s="11" t="s">
        <v>190</v>
      </c>
      <c r="P22" s="11" t="s">
        <v>190</v>
      </c>
      <c r="Q22" s="11" t="s">
        <v>190</v>
      </c>
      <c r="R22" s="11" t="s">
        <v>190</v>
      </c>
      <c r="S22" s="11" t="s">
        <v>190</v>
      </c>
      <c r="T22" s="11" t="s">
        <v>190</v>
      </c>
      <c r="U22" s="11" t="s">
        <v>190</v>
      </c>
      <c r="V22" s="11" t="s">
        <v>190</v>
      </c>
      <c r="W22" s="11" t="s">
        <v>190</v>
      </c>
      <c r="X22" s="11" t="s">
        <v>190</v>
      </c>
      <c r="Y22" s="11" t="s">
        <v>190</v>
      </c>
      <c r="Z22" s="11" t="s">
        <v>190</v>
      </c>
      <c r="AA22" s="16" t="s">
        <v>990</v>
      </c>
      <c r="AB22" s="11" t="s">
        <v>190</v>
      </c>
      <c r="AC22" s="12"/>
      <c r="AD22" s="12" t="s">
        <v>1030</v>
      </c>
      <c r="AE22" s="13" t="s">
        <v>360</v>
      </c>
      <c r="AF22" s="14" t="s">
        <v>360</v>
      </c>
      <c r="AG22" s="12"/>
      <c r="AH22" s="12"/>
    </row>
    <row r="23" spans="2:34" ht="10.25" customHeight="1" x14ac:dyDescent="0.55000000000000004">
      <c r="B23" s="14" t="s">
        <v>1073</v>
      </c>
      <c r="C23" s="52">
        <v>14</v>
      </c>
      <c r="D23" s="13" t="s">
        <v>998</v>
      </c>
      <c r="E23" s="11" t="s">
        <v>190</v>
      </c>
      <c r="F23" s="11" t="s">
        <v>190</v>
      </c>
      <c r="G23" s="11" t="s">
        <v>190</v>
      </c>
      <c r="H23" s="11" t="s">
        <v>190</v>
      </c>
      <c r="I23" s="11" t="s">
        <v>190</v>
      </c>
      <c r="J23" s="11" t="s">
        <v>190</v>
      </c>
      <c r="K23" s="11" t="s">
        <v>190</v>
      </c>
      <c r="L23" s="11" t="s">
        <v>190</v>
      </c>
      <c r="M23" s="11" t="s">
        <v>190</v>
      </c>
      <c r="N23" s="14" t="s">
        <v>786</v>
      </c>
      <c r="O23" s="14" t="s">
        <v>787</v>
      </c>
      <c r="P23" s="11" t="s">
        <v>190</v>
      </c>
      <c r="Q23" s="11" t="s">
        <v>190</v>
      </c>
      <c r="R23" s="14" t="s">
        <v>658</v>
      </c>
      <c r="S23" s="14" t="s">
        <v>788</v>
      </c>
      <c r="T23" s="11" t="s">
        <v>190</v>
      </c>
      <c r="U23" s="11" t="s">
        <v>190</v>
      </c>
      <c r="V23" s="11" t="s">
        <v>190</v>
      </c>
      <c r="W23" s="11" t="s">
        <v>190</v>
      </c>
      <c r="X23" s="11" t="s">
        <v>190</v>
      </c>
      <c r="Y23" s="11" t="s">
        <v>190</v>
      </c>
      <c r="Z23" s="11" t="s">
        <v>190</v>
      </c>
      <c r="AA23" s="17"/>
      <c r="AB23" s="11" t="s">
        <v>190</v>
      </c>
      <c r="AC23" s="12" t="s">
        <v>1182</v>
      </c>
      <c r="AD23" s="12"/>
      <c r="AE23" s="13" t="s">
        <v>1041</v>
      </c>
      <c r="AF23" s="14" t="s">
        <v>990</v>
      </c>
      <c r="AG23" s="12"/>
      <c r="AH23" s="12"/>
    </row>
    <row r="24" spans="2:34" ht="10.25" customHeight="1" x14ac:dyDescent="0.55000000000000004">
      <c r="B24" s="14" t="s">
        <v>103</v>
      </c>
      <c r="C24" s="52">
        <v>15</v>
      </c>
      <c r="D24" s="13" t="s">
        <v>103</v>
      </c>
      <c r="E24" s="11" t="s">
        <v>190</v>
      </c>
      <c r="F24" s="11" t="s">
        <v>190</v>
      </c>
      <c r="G24" s="11" t="s">
        <v>190</v>
      </c>
      <c r="H24" s="11" t="s">
        <v>190</v>
      </c>
      <c r="I24" s="11" t="s">
        <v>190</v>
      </c>
      <c r="J24" s="11" t="s">
        <v>190</v>
      </c>
      <c r="K24" s="11" t="s">
        <v>190</v>
      </c>
      <c r="L24" s="11" t="s">
        <v>190</v>
      </c>
      <c r="M24" s="11" t="s">
        <v>190</v>
      </c>
      <c r="N24" s="14" t="s">
        <v>789</v>
      </c>
      <c r="O24" s="14" t="s">
        <v>790</v>
      </c>
      <c r="P24" s="11" t="s">
        <v>190</v>
      </c>
      <c r="Q24" s="11" t="s">
        <v>190</v>
      </c>
      <c r="R24" s="14" t="s">
        <v>657</v>
      </c>
      <c r="S24" s="14" t="s">
        <v>791</v>
      </c>
      <c r="T24" s="11" t="s">
        <v>190</v>
      </c>
      <c r="U24" s="11" t="s">
        <v>190</v>
      </c>
      <c r="V24" s="11" t="s">
        <v>190</v>
      </c>
      <c r="W24" s="11" t="s">
        <v>190</v>
      </c>
      <c r="X24" s="11" t="s">
        <v>190</v>
      </c>
      <c r="Y24" s="11" t="s">
        <v>190</v>
      </c>
      <c r="Z24" s="11" t="s">
        <v>190</v>
      </c>
      <c r="AA24" s="17"/>
      <c r="AB24" s="11" t="s">
        <v>190</v>
      </c>
      <c r="AC24" s="12" t="s">
        <v>1182</v>
      </c>
      <c r="AD24" s="12"/>
      <c r="AE24" s="13" t="s">
        <v>1041</v>
      </c>
      <c r="AF24" s="14" t="s">
        <v>990</v>
      </c>
      <c r="AG24" s="12"/>
      <c r="AH24" s="12"/>
    </row>
    <row r="25" spans="2:34" ht="10.25" customHeight="1" x14ac:dyDescent="0.55000000000000004">
      <c r="B25" s="14" t="s">
        <v>104</v>
      </c>
      <c r="C25" s="52">
        <v>16</v>
      </c>
      <c r="D25" s="13" t="s">
        <v>104</v>
      </c>
      <c r="E25" s="11" t="s">
        <v>190</v>
      </c>
      <c r="F25" s="11" t="s">
        <v>190</v>
      </c>
      <c r="G25" s="11" t="s">
        <v>190</v>
      </c>
      <c r="H25" s="11" t="s">
        <v>190</v>
      </c>
      <c r="I25" s="11" t="s">
        <v>190</v>
      </c>
      <c r="J25" s="11" t="s">
        <v>190</v>
      </c>
      <c r="K25" s="11" t="s">
        <v>190</v>
      </c>
      <c r="L25" s="11" t="s">
        <v>190</v>
      </c>
      <c r="M25" s="11" t="s">
        <v>190</v>
      </c>
      <c r="N25" s="14" t="s">
        <v>792</v>
      </c>
      <c r="O25" s="11" t="s">
        <v>190</v>
      </c>
      <c r="P25" s="11" t="s">
        <v>190</v>
      </c>
      <c r="Q25" s="11" t="s">
        <v>190</v>
      </c>
      <c r="R25" s="14" t="s">
        <v>656</v>
      </c>
      <c r="S25" s="14" t="s">
        <v>793</v>
      </c>
      <c r="T25" s="11" t="s">
        <v>190</v>
      </c>
      <c r="U25" s="11" t="s">
        <v>190</v>
      </c>
      <c r="V25" s="11" t="s">
        <v>190</v>
      </c>
      <c r="W25" s="11" t="s">
        <v>190</v>
      </c>
      <c r="X25" s="11" t="s">
        <v>190</v>
      </c>
      <c r="Y25" s="11" t="s">
        <v>190</v>
      </c>
      <c r="Z25" s="11" t="s">
        <v>190</v>
      </c>
      <c r="AA25" s="17"/>
      <c r="AB25" s="11" t="s">
        <v>190</v>
      </c>
      <c r="AC25" s="12" t="s">
        <v>1182</v>
      </c>
      <c r="AD25" s="12"/>
      <c r="AE25" s="13" t="s">
        <v>1041</v>
      </c>
      <c r="AF25" s="14" t="s">
        <v>990</v>
      </c>
      <c r="AG25" s="12"/>
      <c r="AH25" s="12"/>
    </row>
    <row r="26" spans="2:34" ht="10.25" customHeight="1" x14ac:dyDescent="0.55000000000000004">
      <c r="B26" s="14" t="s">
        <v>105</v>
      </c>
      <c r="C26" s="52">
        <v>17</v>
      </c>
      <c r="D26" s="13" t="s">
        <v>105</v>
      </c>
      <c r="E26" s="11" t="s">
        <v>190</v>
      </c>
      <c r="F26" s="11" t="s">
        <v>190</v>
      </c>
      <c r="G26" s="11" t="s">
        <v>190</v>
      </c>
      <c r="H26" s="11" t="s">
        <v>190</v>
      </c>
      <c r="I26" s="11" t="s">
        <v>190</v>
      </c>
      <c r="J26" s="11" t="s">
        <v>190</v>
      </c>
      <c r="K26" s="11" t="s">
        <v>190</v>
      </c>
      <c r="L26" s="11" t="s">
        <v>190</v>
      </c>
      <c r="M26" s="11" t="s">
        <v>190</v>
      </c>
      <c r="N26" s="11" t="s">
        <v>190</v>
      </c>
      <c r="O26" s="11" t="s">
        <v>190</v>
      </c>
      <c r="P26" s="11" t="s">
        <v>190</v>
      </c>
      <c r="Q26" s="11" t="s">
        <v>190</v>
      </c>
      <c r="R26" s="14" t="s">
        <v>655</v>
      </c>
      <c r="S26" s="14" t="s">
        <v>794</v>
      </c>
      <c r="T26" s="11" t="s">
        <v>190</v>
      </c>
      <c r="U26" s="11" t="s">
        <v>190</v>
      </c>
      <c r="V26" s="11" t="s">
        <v>190</v>
      </c>
      <c r="W26" s="11" t="s">
        <v>190</v>
      </c>
      <c r="X26" s="11" t="s">
        <v>190</v>
      </c>
      <c r="Y26" s="11" t="s">
        <v>190</v>
      </c>
      <c r="Z26" s="11" t="s">
        <v>190</v>
      </c>
      <c r="AA26" s="17"/>
      <c r="AB26" s="11" t="s">
        <v>190</v>
      </c>
      <c r="AC26" s="12"/>
      <c r="AD26" s="12"/>
      <c r="AE26" s="13" t="s">
        <v>1041</v>
      </c>
      <c r="AF26" s="14" t="s">
        <v>990</v>
      </c>
      <c r="AG26" s="12"/>
      <c r="AH26" s="12"/>
    </row>
    <row r="27" spans="2:34" ht="10.25" customHeight="1" x14ac:dyDescent="0.55000000000000004">
      <c r="B27" s="16" t="s">
        <v>990</v>
      </c>
      <c r="C27" s="10">
        <v>18</v>
      </c>
      <c r="D27" s="11" t="s">
        <v>190</v>
      </c>
      <c r="E27" s="11" t="s">
        <v>190</v>
      </c>
      <c r="F27" s="11" t="s">
        <v>190</v>
      </c>
      <c r="G27" s="11" t="s">
        <v>190</v>
      </c>
      <c r="H27" s="11" t="s">
        <v>190</v>
      </c>
      <c r="I27" s="11" t="s">
        <v>190</v>
      </c>
      <c r="J27" s="11" t="s">
        <v>190</v>
      </c>
      <c r="K27" s="11" t="s">
        <v>190</v>
      </c>
      <c r="L27" s="11" t="s">
        <v>190</v>
      </c>
      <c r="M27" s="11" t="s">
        <v>190</v>
      </c>
      <c r="N27" s="11" t="s">
        <v>190</v>
      </c>
      <c r="O27" s="11" t="s">
        <v>190</v>
      </c>
      <c r="P27" s="11" t="s">
        <v>190</v>
      </c>
      <c r="Q27" s="11" t="s">
        <v>190</v>
      </c>
      <c r="R27" s="11" t="s">
        <v>190</v>
      </c>
      <c r="S27" s="11" t="s">
        <v>190</v>
      </c>
      <c r="T27" s="11" t="s">
        <v>190</v>
      </c>
      <c r="U27" s="11" t="s">
        <v>190</v>
      </c>
      <c r="V27" s="11" t="s">
        <v>190</v>
      </c>
      <c r="W27" s="11" t="s">
        <v>190</v>
      </c>
      <c r="X27" s="11" t="s">
        <v>190</v>
      </c>
      <c r="Y27" s="11" t="s">
        <v>190</v>
      </c>
      <c r="Z27" s="11" t="s">
        <v>190</v>
      </c>
      <c r="AA27" s="16" t="s">
        <v>990</v>
      </c>
      <c r="AB27" s="11" t="s">
        <v>190</v>
      </c>
      <c r="AC27" s="12"/>
      <c r="AD27" s="12" t="s">
        <v>1029</v>
      </c>
      <c r="AE27" s="13" t="s">
        <v>360</v>
      </c>
      <c r="AF27" s="14" t="s">
        <v>360</v>
      </c>
      <c r="AG27" s="12"/>
      <c r="AH27" s="12"/>
    </row>
    <row r="28" spans="2:34" ht="10.25" customHeight="1" x14ac:dyDescent="0.55000000000000004">
      <c r="B28" s="9" t="s">
        <v>989</v>
      </c>
      <c r="C28" s="10">
        <v>19</v>
      </c>
      <c r="D28" s="11" t="s">
        <v>190</v>
      </c>
      <c r="E28" s="11" t="s">
        <v>190</v>
      </c>
      <c r="F28" s="11" t="s">
        <v>190</v>
      </c>
      <c r="G28" s="11" t="s">
        <v>190</v>
      </c>
      <c r="H28" s="11" t="s">
        <v>190</v>
      </c>
      <c r="I28" s="11" t="s">
        <v>190</v>
      </c>
      <c r="J28" s="11" t="s">
        <v>190</v>
      </c>
      <c r="K28" s="11" t="s">
        <v>190</v>
      </c>
      <c r="L28" s="11" t="s">
        <v>190</v>
      </c>
      <c r="M28" s="11" t="s">
        <v>190</v>
      </c>
      <c r="N28" s="11" t="s">
        <v>190</v>
      </c>
      <c r="O28" s="11" t="s">
        <v>190</v>
      </c>
      <c r="P28" s="11" t="s">
        <v>190</v>
      </c>
      <c r="Q28" s="11" t="s">
        <v>190</v>
      </c>
      <c r="R28" s="11" t="s">
        <v>190</v>
      </c>
      <c r="S28" s="11" t="s">
        <v>190</v>
      </c>
      <c r="T28" s="11" t="s">
        <v>190</v>
      </c>
      <c r="U28" s="11" t="s">
        <v>190</v>
      </c>
      <c r="V28" s="11" t="s">
        <v>190</v>
      </c>
      <c r="W28" s="11" t="s">
        <v>190</v>
      </c>
      <c r="X28" s="11" t="s">
        <v>190</v>
      </c>
      <c r="Y28" s="11" t="s">
        <v>190</v>
      </c>
      <c r="Z28" s="11" t="s">
        <v>190</v>
      </c>
      <c r="AA28" s="9" t="s">
        <v>989</v>
      </c>
      <c r="AB28" s="11" t="s">
        <v>190</v>
      </c>
      <c r="AC28" s="12"/>
      <c r="AD28" s="12" t="s">
        <v>1030</v>
      </c>
      <c r="AE28" s="13" t="s">
        <v>360</v>
      </c>
      <c r="AF28" s="14" t="s">
        <v>360</v>
      </c>
      <c r="AG28" s="12"/>
      <c r="AH28" s="12"/>
    </row>
    <row r="29" spans="2:34" ht="10.25" customHeight="1" x14ac:dyDescent="0.55000000000000004">
      <c r="B29" s="16" t="s">
        <v>180</v>
      </c>
      <c r="C29" s="10">
        <v>20</v>
      </c>
      <c r="D29" s="11" t="s">
        <v>190</v>
      </c>
      <c r="E29" s="11" t="s">
        <v>190</v>
      </c>
      <c r="F29" s="11" t="s">
        <v>190</v>
      </c>
      <c r="G29" s="11" t="s">
        <v>190</v>
      </c>
      <c r="H29" s="11" t="s">
        <v>190</v>
      </c>
      <c r="I29" s="11" t="s">
        <v>190</v>
      </c>
      <c r="J29" s="11" t="s">
        <v>190</v>
      </c>
      <c r="K29" s="11" t="s">
        <v>190</v>
      </c>
      <c r="L29" s="11" t="s">
        <v>190</v>
      </c>
      <c r="M29" s="11" t="s">
        <v>190</v>
      </c>
      <c r="N29" s="11" t="s">
        <v>190</v>
      </c>
      <c r="O29" s="11" t="s">
        <v>190</v>
      </c>
      <c r="P29" s="11" t="s">
        <v>190</v>
      </c>
      <c r="Q29" s="11" t="s">
        <v>190</v>
      </c>
      <c r="R29" s="11" t="s">
        <v>190</v>
      </c>
      <c r="S29" s="11" t="s">
        <v>190</v>
      </c>
      <c r="T29" s="11" t="s">
        <v>190</v>
      </c>
      <c r="U29" s="11" t="s">
        <v>190</v>
      </c>
      <c r="V29" s="11" t="s">
        <v>190</v>
      </c>
      <c r="W29" s="11" t="s">
        <v>190</v>
      </c>
      <c r="X29" s="11" t="s">
        <v>190</v>
      </c>
      <c r="Y29" s="11" t="s">
        <v>190</v>
      </c>
      <c r="Z29" s="11" t="s">
        <v>190</v>
      </c>
      <c r="AA29" s="16" t="s">
        <v>180</v>
      </c>
      <c r="AB29" s="11" t="s">
        <v>190</v>
      </c>
      <c r="AC29" s="12"/>
      <c r="AD29" s="12" t="s">
        <v>354</v>
      </c>
      <c r="AE29" s="13" t="s">
        <v>360</v>
      </c>
      <c r="AF29" s="14" t="s">
        <v>360</v>
      </c>
      <c r="AG29" s="12"/>
      <c r="AH29" s="12"/>
    </row>
    <row r="30" spans="2:34" ht="10.25" customHeight="1" x14ac:dyDescent="0.55000000000000004">
      <c r="B30" s="16" t="s">
        <v>181</v>
      </c>
      <c r="C30" s="10">
        <v>21</v>
      </c>
      <c r="D30" s="11" t="s">
        <v>190</v>
      </c>
      <c r="E30" s="11" t="s">
        <v>190</v>
      </c>
      <c r="F30" s="11" t="s">
        <v>190</v>
      </c>
      <c r="G30" s="11" t="s">
        <v>190</v>
      </c>
      <c r="H30" s="11" t="s">
        <v>190</v>
      </c>
      <c r="I30" s="11" t="s">
        <v>190</v>
      </c>
      <c r="J30" s="11" t="s">
        <v>190</v>
      </c>
      <c r="K30" s="11" t="s">
        <v>190</v>
      </c>
      <c r="L30" s="11" t="s">
        <v>190</v>
      </c>
      <c r="M30" s="11" t="s">
        <v>190</v>
      </c>
      <c r="N30" s="11" t="s">
        <v>190</v>
      </c>
      <c r="O30" s="11" t="s">
        <v>190</v>
      </c>
      <c r="P30" s="11" t="s">
        <v>190</v>
      </c>
      <c r="Q30" s="11" t="s">
        <v>190</v>
      </c>
      <c r="R30" s="11" t="s">
        <v>190</v>
      </c>
      <c r="S30" s="11" t="s">
        <v>190</v>
      </c>
      <c r="T30" s="11" t="s">
        <v>190</v>
      </c>
      <c r="U30" s="11" t="s">
        <v>190</v>
      </c>
      <c r="V30" s="11" t="s">
        <v>190</v>
      </c>
      <c r="W30" s="11" t="s">
        <v>190</v>
      </c>
      <c r="X30" s="11" t="s">
        <v>190</v>
      </c>
      <c r="Y30" s="11" t="s">
        <v>190</v>
      </c>
      <c r="Z30" s="11" t="s">
        <v>190</v>
      </c>
      <c r="AA30" s="16" t="s">
        <v>181</v>
      </c>
      <c r="AB30" s="11" t="s">
        <v>190</v>
      </c>
      <c r="AC30" s="12"/>
      <c r="AD30" s="12" t="s">
        <v>356</v>
      </c>
      <c r="AE30" s="13" t="s">
        <v>360</v>
      </c>
      <c r="AF30" s="14" t="s">
        <v>360</v>
      </c>
      <c r="AG30" s="12"/>
      <c r="AH30" s="12"/>
    </row>
    <row r="31" spans="2:34" ht="10.25" customHeight="1" x14ac:dyDescent="0.55000000000000004">
      <c r="B31" s="9" t="s">
        <v>179</v>
      </c>
      <c r="C31" s="10">
        <v>22</v>
      </c>
      <c r="D31" s="11" t="s">
        <v>190</v>
      </c>
      <c r="E31" s="11" t="s">
        <v>190</v>
      </c>
      <c r="F31" s="11" t="s">
        <v>190</v>
      </c>
      <c r="G31" s="11" t="s">
        <v>190</v>
      </c>
      <c r="H31" s="11" t="s">
        <v>190</v>
      </c>
      <c r="I31" s="11" t="s">
        <v>190</v>
      </c>
      <c r="J31" s="11" t="s">
        <v>190</v>
      </c>
      <c r="K31" s="11" t="s">
        <v>190</v>
      </c>
      <c r="L31" s="11" t="s">
        <v>190</v>
      </c>
      <c r="M31" s="11" t="s">
        <v>190</v>
      </c>
      <c r="N31" s="11" t="s">
        <v>190</v>
      </c>
      <c r="O31" s="11" t="s">
        <v>190</v>
      </c>
      <c r="P31" s="11" t="s">
        <v>190</v>
      </c>
      <c r="Q31" s="11" t="s">
        <v>190</v>
      </c>
      <c r="R31" s="11" t="s">
        <v>190</v>
      </c>
      <c r="S31" s="11" t="s">
        <v>190</v>
      </c>
      <c r="T31" s="11" t="s">
        <v>190</v>
      </c>
      <c r="U31" s="11" t="s">
        <v>190</v>
      </c>
      <c r="V31" s="11" t="s">
        <v>190</v>
      </c>
      <c r="W31" s="11" t="s">
        <v>190</v>
      </c>
      <c r="X31" s="11" t="s">
        <v>190</v>
      </c>
      <c r="Y31" s="11" t="s">
        <v>190</v>
      </c>
      <c r="Z31" s="11" t="s">
        <v>190</v>
      </c>
      <c r="AA31" s="9" t="s">
        <v>179</v>
      </c>
      <c r="AB31" s="11" t="s">
        <v>190</v>
      </c>
      <c r="AC31" s="12"/>
      <c r="AD31" s="12" t="s">
        <v>355</v>
      </c>
      <c r="AE31" s="13" t="s">
        <v>360</v>
      </c>
      <c r="AF31" s="14" t="s">
        <v>360</v>
      </c>
      <c r="AG31" s="12"/>
      <c r="AH31" s="12"/>
    </row>
    <row r="32" spans="2:34" ht="10.25" customHeight="1" x14ac:dyDescent="0.55000000000000004">
      <c r="B32" s="14" t="s">
        <v>1074</v>
      </c>
      <c r="C32" s="52">
        <v>23</v>
      </c>
      <c r="D32" s="13" t="s">
        <v>363</v>
      </c>
      <c r="E32" s="14" t="s">
        <v>451</v>
      </c>
      <c r="F32" s="14" t="s">
        <v>391</v>
      </c>
      <c r="G32" s="11" t="s">
        <v>190</v>
      </c>
      <c r="H32" s="11" t="s">
        <v>190</v>
      </c>
      <c r="I32" s="11" t="s">
        <v>190</v>
      </c>
      <c r="J32" s="11" t="s">
        <v>190</v>
      </c>
      <c r="K32" s="11" t="s">
        <v>190</v>
      </c>
      <c r="L32" s="11" t="s">
        <v>190</v>
      </c>
      <c r="M32" s="149" t="s">
        <v>801</v>
      </c>
      <c r="N32" s="14" t="s">
        <v>566</v>
      </c>
      <c r="O32" s="14" t="s">
        <v>559</v>
      </c>
      <c r="P32" s="14" t="s">
        <v>562</v>
      </c>
      <c r="Q32" s="11" t="s">
        <v>190</v>
      </c>
      <c r="R32" s="11" t="s">
        <v>190</v>
      </c>
      <c r="S32" s="11" t="s">
        <v>190</v>
      </c>
      <c r="T32" s="14" t="s">
        <v>904</v>
      </c>
      <c r="U32" s="14" t="s">
        <v>905</v>
      </c>
      <c r="V32" s="11" t="s">
        <v>190</v>
      </c>
      <c r="W32" s="11" t="s">
        <v>190</v>
      </c>
      <c r="X32" s="11" t="s">
        <v>190</v>
      </c>
      <c r="Y32" s="11" t="s">
        <v>190</v>
      </c>
      <c r="Z32" s="11" t="s">
        <v>190</v>
      </c>
      <c r="AA32" s="15"/>
      <c r="AB32" s="11" t="s">
        <v>190</v>
      </c>
      <c r="AC32" s="12" t="s">
        <v>1182</v>
      </c>
      <c r="AD32" s="12"/>
      <c r="AE32" s="13" t="s">
        <v>1042</v>
      </c>
      <c r="AF32" s="14" t="s">
        <v>180</v>
      </c>
      <c r="AG32" s="12"/>
      <c r="AH32" s="12"/>
    </row>
    <row r="33" spans="2:34" ht="10.25" customHeight="1" x14ac:dyDescent="0.55000000000000004">
      <c r="B33" s="14" t="s">
        <v>802</v>
      </c>
      <c r="C33" s="52">
        <v>24</v>
      </c>
      <c r="D33" s="13" t="s">
        <v>802</v>
      </c>
      <c r="E33" s="14" t="s">
        <v>384</v>
      </c>
      <c r="F33" s="14" t="s">
        <v>452</v>
      </c>
      <c r="G33" s="11" t="s">
        <v>190</v>
      </c>
      <c r="H33" s="11" t="s">
        <v>190</v>
      </c>
      <c r="I33" s="11" t="s">
        <v>190</v>
      </c>
      <c r="J33" s="11" t="s">
        <v>190</v>
      </c>
      <c r="K33" s="11" t="s">
        <v>190</v>
      </c>
      <c r="L33" s="11" t="s">
        <v>190</v>
      </c>
      <c r="M33" s="11" t="s">
        <v>190</v>
      </c>
      <c r="N33" s="14" t="s">
        <v>563</v>
      </c>
      <c r="O33" s="14" t="s">
        <v>561</v>
      </c>
      <c r="P33" s="14" t="s">
        <v>565</v>
      </c>
      <c r="Q33" s="11" t="s">
        <v>190</v>
      </c>
      <c r="R33" s="11" t="s">
        <v>190</v>
      </c>
      <c r="S33" s="11" t="s">
        <v>190</v>
      </c>
      <c r="T33" s="14" t="s">
        <v>906</v>
      </c>
      <c r="U33" s="14" t="s">
        <v>907</v>
      </c>
      <c r="V33" s="11" t="s">
        <v>190</v>
      </c>
      <c r="W33" s="11" t="s">
        <v>190</v>
      </c>
      <c r="X33" s="11" t="s">
        <v>190</v>
      </c>
      <c r="Y33" s="11" t="s">
        <v>190</v>
      </c>
      <c r="Z33" s="11" t="s">
        <v>190</v>
      </c>
      <c r="AA33" s="15"/>
      <c r="AB33" s="11" t="s">
        <v>190</v>
      </c>
      <c r="AC33" s="12" t="s">
        <v>1182</v>
      </c>
      <c r="AD33" s="12"/>
      <c r="AE33" s="13" t="s">
        <v>1042</v>
      </c>
      <c r="AF33" s="14" t="s">
        <v>180</v>
      </c>
      <c r="AG33" s="12"/>
      <c r="AH33" s="12"/>
    </row>
    <row r="34" spans="2:34" ht="10.25" customHeight="1" x14ac:dyDescent="0.55000000000000004">
      <c r="B34" s="14" t="s">
        <v>803</v>
      </c>
      <c r="C34" s="52">
        <v>25</v>
      </c>
      <c r="D34" s="13" t="s">
        <v>803</v>
      </c>
      <c r="E34" s="14" t="s">
        <v>551</v>
      </c>
      <c r="F34" s="14" t="s">
        <v>388</v>
      </c>
      <c r="G34" s="11" t="s">
        <v>190</v>
      </c>
      <c r="H34" s="11" t="s">
        <v>190</v>
      </c>
      <c r="I34" s="150" t="s">
        <v>810</v>
      </c>
      <c r="J34" s="151" t="s">
        <v>811</v>
      </c>
      <c r="K34" s="11" t="s">
        <v>190</v>
      </c>
      <c r="L34" s="11" t="s">
        <v>190</v>
      </c>
      <c r="M34" s="11" t="s">
        <v>190</v>
      </c>
      <c r="N34" s="14" t="s">
        <v>560</v>
      </c>
      <c r="O34" s="14" t="s">
        <v>564</v>
      </c>
      <c r="P34" s="11" t="s">
        <v>190</v>
      </c>
      <c r="Q34" s="11" t="s">
        <v>190</v>
      </c>
      <c r="R34" s="11" t="s">
        <v>190</v>
      </c>
      <c r="S34" s="11" t="s">
        <v>190</v>
      </c>
      <c r="T34" s="14" t="s">
        <v>908</v>
      </c>
      <c r="U34" s="14" t="s">
        <v>909</v>
      </c>
      <c r="V34" s="11" t="s">
        <v>190</v>
      </c>
      <c r="W34" s="11" t="s">
        <v>190</v>
      </c>
      <c r="X34" s="11" t="s">
        <v>190</v>
      </c>
      <c r="Y34" s="11" t="s">
        <v>190</v>
      </c>
      <c r="Z34" s="11" t="s">
        <v>190</v>
      </c>
      <c r="AA34" s="17"/>
      <c r="AB34" s="11" t="s">
        <v>190</v>
      </c>
      <c r="AC34" s="12" t="s">
        <v>1182</v>
      </c>
      <c r="AD34" s="12"/>
      <c r="AE34" s="13" t="s">
        <v>1042</v>
      </c>
      <c r="AF34" s="14" t="s">
        <v>180</v>
      </c>
      <c r="AG34" s="12"/>
      <c r="AH34" s="12"/>
    </row>
    <row r="35" spans="2:34" ht="10.25" customHeight="1" x14ac:dyDescent="0.55000000000000004">
      <c r="B35" s="14" t="s">
        <v>804</v>
      </c>
      <c r="C35" s="52">
        <v>26</v>
      </c>
      <c r="D35" s="13" t="s">
        <v>804</v>
      </c>
      <c r="E35" s="14" t="s">
        <v>553</v>
      </c>
      <c r="F35" s="14" t="s">
        <v>552</v>
      </c>
      <c r="G35" s="11" t="s">
        <v>190</v>
      </c>
      <c r="H35" s="11" t="s">
        <v>190</v>
      </c>
      <c r="I35" s="150" t="s">
        <v>812</v>
      </c>
      <c r="J35" s="151" t="s">
        <v>813</v>
      </c>
      <c r="K35" s="11" t="s">
        <v>190</v>
      </c>
      <c r="L35" s="11" t="s">
        <v>190</v>
      </c>
      <c r="M35" s="11" t="s">
        <v>190</v>
      </c>
      <c r="N35" s="14" t="s">
        <v>568</v>
      </c>
      <c r="O35" s="14" t="s">
        <v>567</v>
      </c>
      <c r="P35" s="11" t="s">
        <v>190</v>
      </c>
      <c r="Q35" s="11" t="s">
        <v>190</v>
      </c>
      <c r="R35" s="11" t="s">
        <v>190</v>
      </c>
      <c r="S35" s="11" t="s">
        <v>190</v>
      </c>
      <c r="T35" s="14" t="s">
        <v>910</v>
      </c>
      <c r="U35" s="14" t="s">
        <v>911</v>
      </c>
      <c r="V35" s="11" t="s">
        <v>190</v>
      </c>
      <c r="W35" s="11" t="s">
        <v>190</v>
      </c>
      <c r="X35" s="11" t="s">
        <v>190</v>
      </c>
      <c r="Y35" s="11" t="s">
        <v>190</v>
      </c>
      <c r="Z35" s="11" t="s">
        <v>190</v>
      </c>
      <c r="AA35" s="17"/>
      <c r="AB35" s="11" t="s">
        <v>190</v>
      </c>
      <c r="AC35" s="12" t="s">
        <v>1182</v>
      </c>
      <c r="AD35" s="12"/>
      <c r="AE35" s="13" t="s">
        <v>1042</v>
      </c>
      <c r="AF35" s="14" t="s">
        <v>180</v>
      </c>
      <c r="AG35" s="12"/>
      <c r="AH35" s="12"/>
    </row>
    <row r="36" spans="2:34" ht="10.25" customHeight="1" x14ac:dyDescent="0.55000000000000004">
      <c r="B36" s="14" t="s">
        <v>805</v>
      </c>
      <c r="C36" s="52">
        <v>27</v>
      </c>
      <c r="D36" s="13" t="s">
        <v>805</v>
      </c>
      <c r="E36" s="14" t="s">
        <v>555</v>
      </c>
      <c r="F36" s="14" t="s">
        <v>554</v>
      </c>
      <c r="G36" s="14" t="s">
        <v>672</v>
      </c>
      <c r="H36" s="11" t="s">
        <v>190</v>
      </c>
      <c r="I36" s="150" t="s">
        <v>1096</v>
      </c>
      <c r="J36" s="151" t="s">
        <v>983</v>
      </c>
      <c r="K36" s="11" t="s">
        <v>190</v>
      </c>
      <c r="L36" s="11" t="s">
        <v>190</v>
      </c>
      <c r="M36" s="11" t="s">
        <v>190</v>
      </c>
      <c r="N36" s="14" t="s">
        <v>569</v>
      </c>
      <c r="O36" s="11" t="s">
        <v>190</v>
      </c>
      <c r="P36" s="11" t="s">
        <v>190</v>
      </c>
      <c r="Q36" s="11" t="s">
        <v>190</v>
      </c>
      <c r="R36" s="11" t="s">
        <v>190</v>
      </c>
      <c r="S36" s="11" t="s">
        <v>190</v>
      </c>
      <c r="T36" s="14" t="s">
        <v>912</v>
      </c>
      <c r="U36" s="14" t="s">
        <v>913</v>
      </c>
      <c r="V36" s="11" t="s">
        <v>190</v>
      </c>
      <c r="W36" s="11" t="s">
        <v>190</v>
      </c>
      <c r="X36" s="11" t="s">
        <v>190</v>
      </c>
      <c r="Y36" s="11" t="s">
        <v>190</v>
      </c>
      <c r="Z36" s="11" t="s">
        <v>190</v>
      </c>
      <c r="AA36" s="17"/>
      <c r="AB36" s="11" t="s">
        <v>190</v>
      </c>
      <c r="AC36" s="12" t="s">
        <v>1182</v>
      </c>
      <c r="AD36" s="12"/>
      <c r="AE36" s="13" t="s">
        <v>1042</v>
      </c>
      <c r="AF36" s="14" t="s">
        <v>180</v>
      </c>
      <c r="AG36" s="12"/>
      <c r="AH36" s="12"/>
    </row>
    <row r="37" spans="2:34" ht="10.25" customHeight="1" x14ac:dyDescent="0.55000000000000004">
      <c r="B37" s="14" t="s">
        <v>806</v>
      </c>
      <c r="C37" s="52">
        <v>28</v>
      </c>
      <c r="D37" s="13" t="s">
        <v>806</v>
      </c>
      <c r="E37" s="14" t="s">
        <v>381</v>
      </c>
      <c r="F37" s="14" t="s">
        <v>556</v>
      </c>
      <c r="G37" s="14" t="s">
        <v>673</v>
      </c>
      <c r="H37" s="11" t="s">
        <v>190</v>
      </c>
      <c r="I37" s="150" t="s">
        <v>814</v>
      </c>
      <c r="J37" s="151" t="s">
        <v>982</v>
      </c>
      <c r="K37" s="11" t="s">
        <v>190</v>
      </c>
      <c r="L37" s="11" t="s">
        <v>190</v>
      </c>
      <c r="M37" s="149" t="s">
        <v>807</v>
      </c>
      <c r="N37" s="11" t="s">
        <v>190</v>
      </c>
      <c r="O37" s="11" t="s">
        <v>190</v>
      </c>
      <c r="P37" s="11" t="s">
        <v>190</v>
      </c>
      <c r="Q37" s="11" t="s">
        <v>190</v>
      </c>
      <c r="R37" s="11" t="s">
        <v>190</v>
      </c>
      <c r="S37" s="11" t="s">
        <v>190</v>
      </c>
      <c r="T37" s="14" t="s">
        <v>914</v>
      </c>
      <c r="U37" s="14" t="s">
        <v>915</v>
      </c>
      <c r="V37" s="11" t="s">
        <v>190</v>
      </c>
      <c r="W37" s="11" t="s">
        <v>190</v>
      </c>
      <c r="X37" s="11" t="s">
        <v>190</v>
      </c>
      <c r="Y37" s="11" t="s">
        <v>190</v>
      </c>
      <c r="Z37" s="11" t="s">
        <v>190</v>
      </c>
      <c r="AA37" s="17"/>
      <c r="AB37" s="11" t="s">
        <v>190</v>
      </c>
      <c r="AC37" s="12" t="s">
        <v>1182</v>
      </c>
      <c r="AD37" s="12"/>
      <c r="AE37" s="13" t="s">
        <v>1042</v>
      </c>
      <c r="AF37" s="14" t="s">
        <v>180</v>
      </c>
      <c r="AG37" s="12"/>
      <c r="AH37" s="12"/>
    </row>
    <row r="38" spans="2:34" ht="10.25" customHeight="1" x14ac:dyDescent="0.55000000000000004">
      <c r="B38" s="14" t="s">
        <v>1075</v>
      </c>
      <c r="C38" s="52">
        <v>29</v>
      </c>
      <c r="D38" s="13" t="s">
        <v>1001</v>
      </c>
      <c r="E38" s="14" t="s">
        <v>387</v>
      </c>
      <c r="F38" s="14" t="s">
        <v>395</v>
      </c>
      <c r="G38" s="14" t="s">
        <v>675</v>
      </c>
      <c r="H38" s="11" t="s">
        <v>190</v>
      </c>
      <c r="I38" s="11" t="s">
        <v>190</v>
      </c>
      <c r="J38" s="11" t="s">
        <v>190</v>
      </c>
      <c r="K38" s="11" t="s">
        <v>190</v>
      </c>
      <c r="L38" s="11" t="s">
        <v>190</v>
      </c>
      <c r="M38" s="149" t="s">
        <v>817</v>
      </c>
      <c r="N38" s="14" t="s">
        <v>547</v>
      </c>
      <c r="O38" s="14" t="s">
        <v>540</v>
      </c>
      <c r="P38" s="14" t="s">
        <v>543</v>
      </c>
      <c r="Q38" s="11" t="s">
        <v>190</v>
      </c>
      <c r="R38" s="11" t="s">
        <v>190</v>
      </c>
      <c r="S38" s="11" t="s">
        <v>190</v>
      </c>
      <c r="T38" s="14" t="s">
        <v>920</v>
      </c>
      <c r="U38" s="14" t="s">
        <v>921</v>
      </c>
      <c r="V38" s="11" t="s">
        <v>190</v>
      </c>
      <c r="W38" s="11" t="s">
        <v>190</v>
      </c>
      <c r="X38" s="11" t="s">
        <v>190</v>
      </c>
      <c r="Y38" s="11" t="s">
        <v>190</v>
      </c>
      <c r="Z38" s="11" t="s">
        <v>190</v>
      </c>
      <c r="AA38" s="17"/>
      <c r="AB38" s="11" t="s">
        <v>190</v>
      </c>
      <c r="AC38" s="12" t="s">
        <v>1182</v>
      </c>
      <c r="AD38" s="12"/>
      <c r="AE38" s="13" t="s">
        <v>1042</v>
      </c>
      <c r="AF38" s="14" t="s">
        <v>180</v>
      </c>
      <c r="AG38" s="12"/>
      <c r="AH38" s="12"/>
    </row>
    <row r="39" spans="2:34" ht="10.25" customHeight="1" x14ac:dyDescent="0.55000000000000004">
      <c r="B39" s="14" t="s">
        <v>113</v>
      </c>
      <c r="C39" s="52">
        <v>30</v>
      </c>
      <c r="D39" s="13" t="s">
        <v>113</v>
      </c>
      <c r="E39" s="14" t="s">
        <v>451</v>
      </c>
      <c r="F39" s="14" t="s">
        <v>391</v>
      </c>
      <c r="G39" s="11" t="s">
        <v>190</v>
      </c>
      <c r="H39" s="11" t="s">
        <v>190</v>
      </c>
      <c r="I39" s="11" t="s">
        <v>190</v>
      </c>
      <c r="J39" s="11" t="s">
        <v>190</v>
      </c>
      <c r="K39" s="11" t="s">
        <v>190</v>
      </c>
      <c r="L39" s="11" t="s">
        <v>190</v>
      </c>
      <c r="M39" s="149" t="s">
        <v>818</v>
      </c>
      <c r="N39" s="14" t="s">
        <v>544</v>
      </c>
      <c r="O39" s="14" t="s">
        <v>542</v>
      </c>
      <c r="P39" s="14" t="s">
        <v>546</v>
      </c>
      <c r="Q39" s="11" t="s">
        <v>190</v>
      </c>
      <c r="R39" s="11" t="s">
        <v>190</v>
      </c>
      <c r="S39" s="11" t="s">
        <v>190</v>
      </c>
      <c r="T39" s="14" t="s">
        <v>922</v>
      </c>
      <c r="U39" s="14" t="s">
        <v>923</v>
      </c>
      <c r="V39" s="11" t="s">
        <v>190</v>
      </c>
      <c r="W39" s="11" t="s">
        <v>190</v>
      </c>
      <c r="X39" s="11" t="s">
        <v>190</v>
      </c>
      <c r="Y39" s="11" t="s">
        <v>190</v>
      </c>
      <c r="Z39" s="11" t="s">
        <v>190</v>
      </c>
      <c r="AA39" s="17"/>
      <c r="AB39" s="11" t="s">
        <v>190</v>
      </c>
      <c r="AC39" s="12" t="s">
        <v>1182</v>
      </c>
      <c r="AD39" s="12"/>
      <c r="AE39" s="13" t="s">
        <v>1042</v>
      </c>
      <c r="AF39" s="14" t="s">
        <v>180</v>
      </c>
      <c r="AG39" s="12"/>
      <c r="AH39" s="12"/>
    </row>
    <row r="40" spans="2:34" ht="10.25" customHeight="1" x14ac:dyDescent="0.55000000000000004">
      <c r="B40" s="14" t="s">
        <v>115</v>
      </c>
      <c r="C40" s="52">
        <v>31</v>
      </c>
      <c r="D40" s="13" t="s">
        <v>115</v>
      </c>
      <c r="E40" s="14" t="s">
        <v>384</v>
      </c>
      <c r="F40" s="14" t="s">
        <v>452</v>
      </c>
      <c r="G40" s="11" t="s">
        <v>190</v>
      </c>
      <c r="H40" s="11" t="s">
        <v>190</v>
      </c>
      <c r="I40" s="11" t="s">
        <v>190</v>
      </c>
      <c r="J40" s="11" t="s">
        <v>190</v>
      </c>
      <c r="K40" s="11" t="s">
        <v>190</v>
      </c>
      <c r="L40" s="11" t="s">
        <v>190</v>
      </c>
      <c r="M40" s="149" t="s">
        <v>819</v>
      </c>
      <c r="N40" s="14" t="s">
        <v>541</v>
      </c>
      <c r="O40" s="14" t="s">
        <v>545</v>
      </c>
      <c r="P40" s="11" t="s">
        <v>190</v>
      </c>
      <c r="Q40" s="11" t="s">
        <v>190</v>
      </c>
      <c r="R40" s="11" t="s">
        <v>190</v>
      </c>
      <c r="S40" s="11" t="s">
        <v>190</v>
      </c>
      <c r="T40" s="14" t="s">
        <v>924</v>
      </c>
      <c r="U40" s="14" t="s">
        <v>925</v>
      </c>
      <c r="V40" s="11" t="s">
        <v>190</v>
      </c>
      <c r="W40" s="11" t="s">
        <v>190</v>
      </c>
      <c r="X40" s="11" t="s">
        <v>190</v>
      </c>
      <c r="Y40" s="11" t="s">
        <v>190</v>
      </c>
      <c r="Z40" s="11" t="s">
        <v>190</v>
      </c>
      <c r="AA40" s="17"/>
      <c r="AB40" s="11" t="s">
        <v>190</v>
      </c>
      <c r="AC40" s="12" t="s">
        <v>1182</v>
      </c>
      <c r="AD40" s="12"/>
      <c r="AE40" s="13" t="s">
        <v>1042</v>
      </c>
      <c r="AF40" s="14" t="s">
        <v>180</v>
      </c>
      <c r="AG40" s="12"/>
      <c r="AH40" s="12"/>
    </row>
    <row r="41" spans="2:34" ht="10.25" customHeight="1" x14ac:dyDescent="0.55000000000000004">
      <c r="B41" s="14" t="s">
        <v>117</v>
      </c>
      <c r="C41" s="52">
        <v>32</v>
      </c>
      <c r="D41" s="13" t="s">
        <v>117</v>
      </c>
      <c r="E41" s="14" t="s">
        <v>381</v>
      </c>
      <c r="F41" s="14" t="s">
        <v>388</v>
      </c>
      <c r="G41" s="11" t="s">
        <v>190</v>
      </c>
      <c r="H41" s="11" t="s">
        <v>190</v>
      </c>
      <c r="I41" s="14" t="s">
        <v>834</v>
      </c>
      <c r="J41" s="152" t="s">
        <v>835</v>
      </c>
      <c r="K41" s="11" t="s">
        <v>190</v>
      </c>
      <c r="L41" s="11" t="s">
        <v>190</v>
      </c>
      <c r="M41" s="11" t="s">
        <v>190</v>
      </c>
      <c r="N41" s="14" t="s">
        <v>549</v>
      </c>
      <c r="O41" s="14" t="s">
        <v>548</v>
      </c>
      <c r="P41" s="11" t="s">
        <v>190</v>
      </c>
      <c r="Q41" s="11" t="s">
        <v>190</v>
      </c>
      <c r="R41" s="11" t="s">
        <v>190</v>
      </c>
      <c r="S41" s="11" t="s">
        <v>190</v>
      </c>
      <c r="T41" s="14" t="s">
        <v>926</v>
      </c>
      <c r="U41" s="14" t="s">
        <v>927</v>
      </c>
      <c r="V41" s="11" t="s">
        <v>190</v>
      </c>
      <c r="W41" s="11" t="s">
        <v>190</v>
      </c>
      <c r="X41" s="11" t="s">
        <v>190</v>
      </c>
      <c r="Y41" s="11" t="s">
        <v>190</v>
      </c>
      <c r="Z41" s="11" t="s">
        <v>190</v>
      </c>
      <c r="AA41" s="17"/>
      <c r="AB41" s="11" t="s">
        <v>190</v>
      </c>
      <c r="AC41" s="12" t="s">
        <v>1182</v>
      </c>
      <c r="AD41" s="12"/>
      <c r="AE41" s="13" t="s">
        <v>1042</v>
      </c>
      <c r="AF41" s="14" t="s">
        <v>180</v>
      </c>
      <c r="AG41" s="12"/>
      <c r="AH41" s="12"/>
    </row>
    <row r="42" spans="2:34" ht="10.25" customHeight="1" x14ac:dyDescent="0.55000000000000004">
      <c r="B42" s="14" t="s">
        <v>119</v>
      </c>
      <c r="C42" s="52">
        <v>33</v>
      </c>
      <c r="D42" s="13" t="s">
        <v>119</v>
      </c>
      <c r="E42" s="14" t="s">
        <v>419</v>
      </c>
      <c r="F42" s="14" t="s">
        <v>385</v>
      </c>
      <c r="G42" s="11" t="s">
        <v>190</v>
      </c>
      <c r="H42" s="11" t="s">
        <v>190</v>
      </c>
      <c r="I42" s="150" t="s">
        <v>836</v>
      </c>
      <c r="J42" s="151" t="s">
        <v>837</v>
      </c>
      <c r="K42" s="11" t="s">
        <v>190</v>
      </c>
      <c r="L42" s="11" t="s">
        <v>190</v>
      </c>
      <c r="M42" s="11" t="s">
        <v>190</v>
      </c>
      <c r="N42" s="14" t="s">
        <v>550</v>
      </c>
      <c r="O42" s="11" t="s">
        <v>190</v>
      </c>
      <c r="P42" s="11" t="s">
        <v>190</v>
      </c>
      <c r="Q42" s="11" t="s">
        <v>190</v>
      </c>
      <c r="R42" s="11" t="s">
        <v>190</v>
      </c>
      <c r="S42" s="11" t="s">
        <v>190</v>
      </c>
      <c r="T42" s="14" t="s">
        <v>928</v>
      </c>
      <c r="U42" s="14" t="s">
        <v>929</v>
      </c>
      <c r="V42" s="11" t="s">
        <v>190</v>
      </c>
      <c r="W42" s="11" t="s">
        <v>190</v>
      </c>
      <c r="X42" s="11" t="s">
        <v>190</v>
      </c>
      <c r="Y42" s="11" t="s">
        <v>190</v>
      </c>
      <c r="Z42" s="11" t="s">
        <v>190</v>
      </c>
      <c r="AA42" s="53"/>
      <c r="AB42" s="11" t="s">
        <v>190</v>
      </c>
      <c r="AC42" s="12" t="s">
        <v>1182</v>
      </c>
      <c r="AD42" s="12"/>
      <c r="AE42" s="13" t="s">
        <v>1042</v>
      </c>
      <c r="AF42" s="14" t="s">
        <v>180</v>
      </c>
      <c r="AG42" s="12"/>
      <c r="AH42" s="12"/>
    </row>
    <row r="43" spans="2:34" ht="10.25" customHeight="1" x14ac:dyDescent="0.55000000000000004">
      <c r="B43" s="14" t="s">
        <v>121</v>
      </c>
      <c r="C43" s="52">
        <v>34</v>
      </c>
      <c r="D43" s="13" t="s">
        <v>121</v>
      </c>
      <c r="E43" s="14" t="s">
        <v>414</v>
      </c>
      <c r="F43" s="14" t="s">
        <v>426</v>
      </c>
      <c r="G43" s="11" t="s">
        <v>190</v>
      </c>
      <c r="H43" s="11" t="s">
        <v>190</v>
      </c>
      <c r="I43" s="14" t="s">
        <v>981</v>
      </c>
      <c r="J43" s="14" t="s">
        <v>984</v>
      </c>
      <c r="K43" s="11" t="s">
        <v>190</v>
      </c>
      <c r="L43" s="11" t="s">
        <v>190</v>
      </c>
      <c r="M43" s="11" t="s">
        <v>190</v>
      </c>
      <c r="N43" s="11" t="s">
        <v>190</v>
      </c>
      <c r="O43" s="11" t="s">
        <v>190</v>
      </c>
      <c r="P43" s="11" t="s">
        <v>190</v>
      </c>
      <c r="Q43" s="11" t="s">
        <v>190</v>
      </c>
      <c r="R43" s="11" t="s">
        <v>190</v>
      </c>
      <c r="S43" s="11" t="s">
        <v>190</v>
      </c>
      <c r="T43" s="14" t="s">
        <v>930</v>
      </c>
      <c r="U43" s="14" t="s">
        <v>931</v>
      </c>
      <c r="V43" s="11" t="s">
        <v>190</v>
      </c>
      <c r="W43" s="11" t="s">
        <v>190</v>
      </c>
      <c r="X43" s="11" t="s">
        <v>190</v>
      </c>
      <c r="Y43" s="11" t="s">
        <v>190</v>
      </c>
      <c r="Z43" s="11" t="s">
        <v>190</v>
      </c>
      <c r="AA43" s="53"/>
      <c r="AB43" s="11" t="s">
        <v>190</v>
      </c>
      <c r="AC43" s="12" t="s">
        <v>1182</v>
      </c>
      <c r="AD43" s="12"/>
      <c r="AE43" s="13" t="s">
        <v>1042</v>
      </c>
      <c r="AF43" s="14" t="s">
        <v>180</v>
      </c>
      <c r="AG43" s="12"/>
      <c r="AH43" s="12"/>
    </row>
    <row r="44" spans="2:34" ht="10.25" customHeight="1" x14ac:dyDescent="0.55000000000000004">
      <c r="B44" s="14" t="s">
        <v>123</v>
      </c>
      <c r="C44" s="74">
        <v>35</v>
      </c>
      <c r="D44" s="13" t="s">
        <v>123</v>
      </c>
      <c r="E44" s="14" t="s">
        <v>411</v>
      </c>
      <c r="F44" s="14" t="s">
        <v>420</v>
      </c>
      <c r="G44" s="11" t="s">
        <v>190</v>
      </c>
      <c r="H44" s="11" t="s">
        <v>190</v>
      </c>
      <c r="I44" s="14" t="s">
        <v>838</v>
      </c>
      <c r="J44" s="14" t="s">
        <v>1124</v>
      </c>
      <c r="K44" s="11" t="s">
        <v>190</v>
      </c>
      <c r="L44" s="11" t="s">
        <v>190</v>
      </c>
      <c r="M44" s="11" t="s">
        <v>190</v>
      </c>
      <c r="N44" s="11" t="s">
        <v>190</v>
      </c>
      <c r="O44" s="11" t="s">
        <v>190</v>
      </c>
      <c r="P44" s="11" t="s">
        <v>190</v>
      </c>
      <c r="Q44" s="11" t="s">
        <v>190</v>
      </c>
      <c r="R44" s="11" t="s">
        <v>190</v>
      </c>
      <c r="S44" s="11" t="s">
        <v>190</v>
      </c>
      <c r="T44" s="14" t="s">
        <v>932</v>
      </c>
      <c r="U44" s="14" t="s">
        <v>933</v>
      </c>
      <c r="V44" s="11" t="s">
        <v>190</v>
      </c>
      <c r="W44" s="11" t="s">
        <v>190</v>
      </c>
      <c r="X44" s="11" t="s">
        <v>190</v>
      </c>
      <c r="Y44" s="11" t="s">
        <v>190</v>
      </c>
      <c r="Z44" s="11" t="s">
        <v>190</v>
      </c>
      <c r="AA44" s="53"/>
      <c r="AB44" s="11" t="s">
        <v>190</v>
      </c>
      <c r="AC44" s="12" t="s">
        <v>1182</v>
      </c>
      <c r="AD44" s="12"/>
      <c r="AE44" s="13" t="s">
        <v>1042</v>
      </c>
      <c r="AF44" s="14" t="s">
        <v>180</v>
      </c>
      <c r="AG44" s="12"/>
      <c r="AH44" s="12"/>
    </row>
    <row r="45" spans="2:34" ht="10.25" customHeight="1" x14ac:dyDescent="0.55000000000000004">
      <c r="B45" s="9" t="s">
        <v>179</v>
      </c>
      <c r="C45" s="10">
        <v>36</v>
      </c>
      <c r="D45" s="11" t="s">
        <v>190</v>
      </c>
      <c r="E45" s="11" t="s">
        <v>190</v>
      </c>
      <c r="F45" s="11" t="s">
        <v>190</v>
      </c>
      <c r="G45" s="11" t="s">
        <v>190</v>
      </c>
      <c r="H45" s="11" t="s">
        <v>190</v>
      </c>
      <c r="I45" s="11" t="s">
        <v>190</v>
      </c>
      <c r="J45" s="11" t="s">
        <v>190</v>
      </c>
      <c r="K45" s="11" t="s">
        <v>190</v>
      </c>
      <c r="L45" s="11" t="s">
        <v>190</v>
      </c>
      <c r="M45" s="11" t="s">
        <v>190</v>
      </c>
      <c r="N45" s="11" t="s">
        <v>190</v>
      </c>
      <c r="O45" s="11" t="s">
        <v>190</v>
      </c>
      <c r="P45" s="11" t="s">
        <v>190</v>
      </c>
      <c r="Q45" s="11" t="s">
        <v>190</v>
      </c>
      <c r="R45" s="11" t="s">
        <v>190</v>
      </c>
      <c r="S45" s="11" t="s">
        <v>190</v>
      </c>
      <c r="T45" s="11" t="s">
        <v>190</v>
      </c>
      <c r="U45" s="11" t="s">
        <v>190</v>
      </c>
      <c r="V45" s="11" t="s">
        <v>190</v>
      </c>
      <c r="W45" s="11" t="s">
        <v>190</v>
      </c>
      <c r="X45" s="11" t="s">
        <v>190</v>
      </c>
      <c r="Y45" s="11" t="s">
        <v>190</v>
      </c>
      <c r="Z45" s="11" t="s">
        <v>190</v>
      </c>
      <c r="AA45" s="9" t="s">
        <v>179</v>
      </c>
      <c r="AB45" s="11" t="s">
        <v>190</v>
      </c>
      <c r="AC45" s="12"/>
      <c r="AD45" s="12" t="s">
        <v>355</v>
      </c>
      <c r="AE45" s="13" t="s">
        <v>360</v>
      </c>
      <c r="AF45" s="14" t="s">
        <v>360</v>
      </c>
      <c r="AG45" s="12"/>
      <c r="AH45" s="12"/>
    </row>
    <row r="46" spans="2:34" ht="10.25" customHeight="1" x14ac:dyDescent="0.55000000000000004">
      <c r="B46" s="16" t="s">
        <v>180</v>
      </c>
      <c r="C46" s="10">
        <v>37</v>
      </c>
      <c r="D46" s="11" t="s">
        <v>190</v>
      </c>
      <c r="E46" s="11" t="s">
        <v>190</v>
      </c>
      <c r="F46" s="11" t="s">
        <v>190</v>
      </c>
      <c r="G46" s="11" t="s">
        <v>190</v>
      </c>
      <c r="H46" s="11" t="s">
        <v>190</v>
      </c>
      <c r="I46" s="11" t="s">
        <v>190</v>
      </c>
      <c r="J46" s="11" t="s">
        <v>190</v>
      </c>
      <c r="K46" s="11" t="s">
        <v>190</v>
      </c>
      <c r="L46" s="11" t="s">
        <v>190</v>
      </c>
      <c r="M46" s="11" t="s">
        <v>190</v>
      </c>
      <c r="N46" s="11" t="s">
        <v>190</v>
      </c>
      <c r="O46" s="11" t="s">
        <v>190</v>
      </c>
      <c r="P46" s="11" t="s">
        <v>190</v>
      </c>
      <c r="Q46" s="11" t="s">
        <v>190</v>
      </c>
      <c r="R46" s="11" t="s">
        <v>190</v>
      </c>
      <c r="S46" s="11" t="s">
        <v>190</v>
      </c>
      <c r="T46" s="11" t="s">
        <v>190</v>
      </c>
      <c r="U46" s="11" t="s">
        <v>190</v>
      </c>
      <c r="V46" s="11" t="s">
        <v>190</v>
      </c>
      <c r="W46" s="11" t="s">
        <v>190</v>
      </c>
      <c r="X46" s="11" t="s">
        <v>190</v>
      </c>
      <c r="Y46" s="11" t="s">
        <v>190</v>
      </c>
      <c r="Z46" s="11" t="s">
        <v>190</v>
      </c>
      <c r="AA46" s="16" t="s">
        <v>180</v>
      </c>
      <c r="AB46" s="11" t="s">
        <v>190</v>
      </c>
      <c r="AC46" s="12"/>
      <c r="AD46" s="12" t="s">
        <v>354</v>
      </c>
      <c r="AE46" s="13" t="s">
        <v>360</v>
      </c>
      <c r="AF46" s="14" t="s">
        <v>360</v>
      </c>
      <c r="AG46" s="12"/>
      <c r="AH46" s="12"/>
    </row>
    <row r="47" spans="2:34" ht="10.25" customHeight="1" x14ac:dyDescent="0.55000000000000004">
      <c r="B47" s="14" t="s">
        <v>1076</v>
      </c>
      <c r="C47" s="74">
        <v>38</v>
      </c>
      <c r="D47" s="13" t="s">
        <v>1002</v>
      </c>
      <c r="E47" s="14" t="s">
        <v>403</v>
      </c>
      <c r="F47" s="14" t="s">
        <v>370</v>
      </c>
      <c r="G47" s="14" t="s">
        <v>725</v>
      </c>
      <c r="H47" s="11" t="s">
        <v>190</v>
      </c>
      <c r="I47" s="14" t="s">
        <v>839</v>
      </c>
      <c r="J47" s="14" t="s">
        <v>840</v>
      </c>
      <c r="K47" s="11" t="s">
        <v>190</v>
      </c>
      <c r="L47" s="14" t="s">
        <v>841</v>
      </c>
      <c r="M47" s="11" t="s">
        <v>190</v>
      </c>
      <c r="N47" s="14" t="s">
        <v>508</v>
      </c>
      <c r="O47" s="14" t="s">
        <v>497</v>
      </c>
      <c r="P47" s="14" t="s">
        <v>502</v>
      </c>
      <c r="Q47" s="14" t="s">
        <v>112</v>
      </c>
      <c r="R47" s="11" t="s">
        <v>190</v>
      </c>
      <c r="S47" s="11" t="s">
        <v>190</v>
      </c>
      <c r="T47" s="14" t="s">
        <v>894</v>
      </c>
      <c r="U47" s="14" t="s">
        <v>895</v>
      </c>
      <c r="V47" s="11" t="s">
        <v>190</v>
      </c>
      <c r="W47" s="11" t="s">
        <v>190</v>
      </c>
      <c r="X47" s="11" t="s">
        <v>190</v>
      </c>
      <c r="Y47" s="11" t="s">
        <v>190</v>
      </c>
      <c r="Z47" s="11" t="s">
        <v>190</v>
      </c>
      <c r="AA47" s="53"/>
      <c r="AB47" s="11" t="s">
        <v>190</v>
      </c>
      <c r="AC47" s="12" t="s">
        <v>1182</v>
      </c>
      <c r="AD47" s="12"/>
      <c r="AE47" s="13" t="s">
        <v>1042</v>
      </c>
      <c r="AF47" s="14" t="s">
        <v>180</v>
      </c>
      <c r="AG47" s="12"/>
      <c r="AH47" s="12"/>
    </row>
    <row r="48" spans="2:34" ht="10.25" customHeight="1" x14ac:dyDescent="0.55000000000000004">
      <c r="B48" s="14" t="s">
        <v>125</v>
      </c>
      <c r="C48" s="74">
        <v>39</v>
      </c>
      <c r="D48" s="13" t="s">
        <v>125</v>
      </c>
      <c r="E48" s="14" t="s">
        <v>398</v>
      </c>
      <c r="F48" s="14" t="s">
        <v>408</v>
      </c>
      <c r="G48" s="14" t="s">
        <v>728</v>
      </c>
      <c r="H48" s="11" t="s">
        <v>190</v>
      </c>
      <c r="I48" s="14" t="s">
        <v>843</v>
      </c>
      <c r="J48" s="14" t="s">
        <v>844</v>
      </c>
      <c r="K48" s="11" t="s">
        <v>190</v>
      </c>
      <c r="L48" s="14" t="s">
        <v>842</v>
      </c>
      <c r="M48" s="11" t="s">
        <v>190</v>
      </c>
      <c r="N48" s="14" t="s">
        <v>503</v>
      </c>
      <c r="O48" s="14" t="s">
        <v>501</v>
      </c>
      <c r="P48" s="14" t="s">
        <v>507</v>
      </c>
      <c r="Q48" s="14" t="s">
        <v>114</v>
      </c>
      <c r="R48" s="11" t="s">
        <v>190</v>
      </c>
      <c r="S48" s="11" t="s">
        <v>190</v>
      </c>
      <c r="T48" s="14" t="s">
        <v>896</v>
      </c>
      <c r="U48" s="14" t="s">
        <v>897</v>
      </c>
      <c r="V48" s="11" t="s">
        <v>190</v>
      </c>
      <c r="W48" s="11" t="s">
        <v>190</v>
      </c>
      <c r="X48" s="11" t="s">
        <v>190</v>
      </c>
      <c r="Y48" s="11" t="s">
        <v>190</v>
      </c>
      <c r="Z48" s="11" t="s">
        <v>190</v>
      </c>
      <c r="AA48" s="53"/>
      <c r="AB48" s="11" t="s">
        <v>190</v>
      </c>
      <c r="AC48" s="12" t="s">
        <v>1182</v>
      </c>
      <c r="AD48" s="12"/>
      <c r="AE48" s="13" t="s">
        <v>1042</v>
      </c>
      <c r="AF48" s="14" t="s">
        <v>180</v>
      </c>
      <c r="AG48" s="12"/>
      <c r="AH48" s="12"/>
    </row>
    <row r="49" spans="2:34" ht="10.25" customHeight="1" x14ac:dyDescent="0.55000000000000004">
      <c r="B49" s="14" t="s">
        <v>126</v>
      </c>
      <c r="C49" s="52">
        <v>40</v>
      </c>
      <c r="D49" s="13" t="s">
        <v>126</v>
      </c>
      <c r="E49" s="14" t="s">
        <v>394</v>
      </c>
      <c r="F49" s="14" t="s">
        <v>404</v>
      </c>
      <c r="G49" s="14" t="s">
        <v>729</v>
      </c>
      <c r="H49" s="11" t="s">
        <v>190</v>
      </c>
      <c r="I49" s="14" t="s">
        <v>980</v>
      </c>
      <c r="J49" s="153" t="s">
        <v>985</v>
      </c>
      <c r="K49" s="11" t="s">
        <v>190</v>
      </c>
      <c r="L49" s="153" t="s">
        <v>845</v>
      </c>
      <c r="M49" s="11" t="s">
        <v>190</v>
      </c>
      <c r="N49" s="14" t="s">
        <v>498</v>
      </c>
      <c r="O49" s="14" t="s">
        <v>506</v>
      </c>
      <c r="P49" s="11" t="s">
        <v>190</v>
      </c>
      <c r="Q49" s="11" t="s">
        <v>190</v>
      </c>
      <c r="R49" s="11" t="s">
        <v>190</v>
      </c>
      <c r="S49" s="11" t="s">
        <v>190</v>
      </c>
      <c r="T49" s="14" t="s">
        <v>898</v>
      </c>
      <c r="U49" s="14" t="s">
        <v>899</v>
      </c>
      <c r="V49" s="11" t="s">
        <v>190</v>
      </c>
      <c r="W49" s="11" t="s">
        <v>190</v>
      </c>
      <c r="X49" s="11" t="s">
        <v>190</v>
      </c>
      <c r="Y49" s="11" t="s">
        <v>190</v>
      </c>
      <c r="Z49" s="11" t="s">
        <v>190</v>
      </c>
      <c r="AA49" s="53"/>
      <c r="AB49" s="11" t="s">
        <v>190</v>
      </c>
      <c r="AC49" s="12" t="s">
        <v>1182</v>
      </c>
      <c r="AD49" s="12"/>
      <c r="AE49" s="13" t="s">
        <v>1042</v>
      </c>
      <c r="AF49" s="14" t="s">
        <v>180</v>
      </c>
      <c r="AG49" s="12"/>
      <c r="AH49" s="12"/>
    </row>
    <row r="50" spans="2:34" ht="10.25" customHeight="1" x14ac:dyDescent="0.55000000000000004">
      <c r="B50" s="14" t="s">
        <v>127</v>
      </c>
      <c r="C50" s="52">
        <v>41</v>
      </c>
      <c r="D50" s="13" t="s">
        <v>127</v>
      </c>
      <c r="E50" s="14" t="s">
        <v>390</v>
      </c>
      <c r="F50" s="14" t="s">
        <v>399</v>
      </c>
      <c r="G50" s="14" t="s">
        <v>730</v>
      </c>
      <c r="H50" s="11" t="s">
        <v>190</v>
      </c>
      <c r="I50" s="150" t="s">
        <v>847</v>
      </c>
      <c r="J50" s="151" t="s">
        <v>1113</v>
      </c>
      <c r="K50" s="11" t="s">
        <v>190</v>
      </c>
      <c r="L50" s="151" t="s">
        <v>846</v>
      </c>
      <c r="M50" s="11" t="s">
        <v>190</v>
      </c>
      <c r="N50" s="14" t="s">
        <v>512</v>
      </c>
      <c r="O50" s="14" t="s">
        <v>511</v>
      </c>
      <c r="P50" s="11" t="s">
        <v>190</v>
      </c>
      <c r="Q50" s="11" t="s">
        <v>190</v>
      </c>
      <c r="R50" s="11" t="s">
        <v>190</v>
      </c>
      <c r="S50" s="11" t="s">
        <v>190</v>
      </c>
      <c r="T50" s="14" t="s">
        <v>900</v>
      </c>
      <c r="U50" s="14" t="s">
        <v>901</v>
      </c>
      <c r="V50" s="11" t="s">
        <v>190</v>
      </c>
      <c r="W50" s="11" t="s">
        <v>190</v>
      </c>
      <c r="X50" s="11" t="s">
        <v>190</v>
      </c>
      <c r="Y50" s="11" t="s">
        <v>190</v>
      </c>
      <c r="Z50" s="11" t="s">
        <v>190</v>
      </c>
      <c r="AA50" s="15"/>
      <c r="AB50" s="11" t="s">
        <v>190</v>
      </c>
      <c r="AC50" s="12" t="s">
        <v>1182</v>
      </c>
      <c r="AD50" s="12"/>
      <c r="AE50" s="13" t="s">
        <v>1042</v>
      </c>
      <c r="AF50" s="14" t="s">
        <v>180</v>
      </c>
      <c r="AG50" s="12"/>
      <c r="AH50" s="12"/>
    </row>
    <row r="51" spans="2:34" ht="10.25" customHeight="1" x14ac:dyDescent="0.55000000000000004">
      <c r="B51" s="14" t="s">
        <v>1077</v>
      </c>
      <c r="C51" s="52">
        <v>42</v>
      </c>
      <c r="D51" s="13" t="s">
        <v>1003</v>
      </c>
      <c r="E51" s="14" t="s">
        <v>557</v>
      </c>
      <c r="F51" s="14" t="s">
        <v>395</v>
      </c>
      <c r="G51" s="11" t="s">
        <v>190</v>
      </c>
      <c r="H51" s="11" t="s">
        <v>190</v>
      </c>
      <c r="I51" s="11" t="s">
        <v>190</v>
      </c>
      <c r="J51" s="11" t="s">
        <v>190</v>
      </c>
      <c r="K51" s="11" t="s">
        <v>190</v>
      </c>
      <c r="L51" s="11" t="s">
        <v>190</v>
      </c>
      <c r="M51" s="149" t="s">
        <v>820</v>
      </c>
      <c r="N51" s="11" t="s">
        <v>190</v>
      </c>
      <c r="O51" s="14" t="s">
        <v>368</v>
      </c>
      <c r="P51" s="11" t="s">
        <v>190</v>
      </c>
      <c r="Q51" s="11" t="s">
        <v>190</v>
      </c>
      <c r="R51" s="11" t="s">
        <v>190</v>
      </c>
      <c r="S51" s="11" t="s">
        <v>190</v>
      </c>
      <c r="T51" s="14" t="s">
        <v>902</v>
      </c>
      <c r="U51" s="14" t="s">
        <v>903</v>
      </c>
      <c r="V51" s="14" t="s">
        <v>595</v>
      </c>
      <c r="W51" s="14" t="s">
        <v>1062</v>
      </c>
      <c r="X51" s="11" t="s">
        <v>190</v>
      </c>
      <c r="Y51" s="11" t="s">
        <v>190</v>
      </c>
      <c r="Z51" s="11" t="s">
        <v>190</v>
      </c>
      <c r="AA51" s="15"/>
      <c r="AB51" s="11" t="s">
        <v>190</v>
      </c>
      <c r="AC51" s="12" t="s">
        <v>1182</v>
      </c>
      <c r="AD51" s="12"/>
      <c r="AE51" s="13" t="s">
        <v>1043</v>
      </c>
      <c r="AF51" s="14" t="s">
        <v>180</v>
      </c>
      <c r="AG51" s="12"/>
      <c r="AH51" s="12"/>
    </row>
    <row r="52" spans="2:34" ht="10.25" customHeight="1" x14ac:dyDescent="0.55000000000000004">
      <c r="B52" s="14" t="s">
        <v>131</v>
      </c>
      <c r="C52" s="52">
        <v>43</v>
      </c>
      <c r="D52" s="13" t="s">
        <v>131</v>
      </c>
      <c r="E52" s="14" t="s">
        <v>380</v>
      </c>
      <c r="F52" s="14" t="s">
        <v>558</v>
      </c>
      <c r="G52" s="11" t="s">
        <v>190</v>
      </c>
      <c r="H52" s="11" t="s">
        <v>190</v>
      </c>
      <c r="I52" s="11" t="s">
        <v>190</v>
      </c>
      <c r="J52" s="11" t="s">
        <v>190</v>
      </c>
      <c r="K52" s="11" t="s">
        <v>190</v>
      </c>
      <c r="L52" s="11" t="s">
        <v>190</v>
      </c>
      <c r="M52" s="149" t="s">
        <v>821</v>
      </c>
      <c r="N52" s="11" t="s">
        <v>190</v>
      </c>
      <c r="O52" s="14" t="s">
        <v>371</v>
      </c>
      <c r="P52" s="11" t="s">
        <v>190</v>
      </c>
      <c r="Q52" s="11" t="s">
        <v>190</v>
      </c>
      <c r="R52" s="11" t="s">
        <v>190</v>
      </c>
      <c r="S52" s="11" t="s">
        <v>190</v>
      </c>
      <c r="T52" s="14" t="s">
        <v>904</v>
      </c>
      <c r="U52" s="14" t="s">
        <v>905</v>
      </c>
      <c r="V52" s="14" t="s">
        <v>593</v>
      </c>
      <c r="W52" s="14" t="s">
        <v>594</v>
      </c>
      <c r="X52" s="11" t="s">
        <v>190</v>
      </c>
      <c r="Y52" s="11" t="s">
        <v>190</v>
      </c>
      <c r="Z52" s="11" t="s">
        <v>190</v>
      </c>
      <c r="AA52" s="15"/>
      <c r="AB52" s="11" t="s">
        <v>190</v>
      </c>
      <c r="AC52" s="12" t="s">
        <v>1182</v>
      </c>
      <c r="AD52" s="12"/>
      <c r="AE52" s="13" t="s">
        <v>1043</v>
      </c>
      <c r="AF52" s="14" t="s">
        <v>180</v>
      </c>
      <c r="AG52" s="12"/>
      <c r="AH52" s="12"/>
    </row>
    <row r="53" spans="2:34" ht="10.25" customHeight="1" x14ac:dyDescent="0.55000000000000004">
      <c r="B53" s="14" t="s">
        <v>133</v>
      </c>
      <c r="C53" s="52">
        <v>44</v>
      </c>
      <c r="D53" s="13" t="s">
        <v>133</v>
      </c>
      <c r="E53" s="14" t="s">
        <v>383</v>
      </c>
      <c r="F53" s="14" t="s">
        <v>409</v>
      </c>
      <c r="G53" s="14" t="s">
        <v>677</v>
      </c>
      <c r="H53" s="11" t="s">
        <v>190</v>
      </c>
      <c r="I53" s="11" t="s">
        <v>190</v>
      </c>
      <c r="J53" s="11" t="s">
        <v>190</v>
      </c>
      <c r="K53" s="11" t="s">
        <v>190</v>
      </c>
      <c r="L53" s="11" t="s">
        <v>190</v>
      </c>
      <c r="M53" s="149" t="s">
        <v>822</v>
      </c>
      <c r="N53" s="11" t="s">
        <v>190</v>
      </c>
      <c r="O53" s="14" t="s">
        <v>374</v>
      </c>
      <c r="P53" s="14" t="s">
        <v>580</v>
      </c>
      <c r="Q53" s="11" t="s">
        <v>190</v>
      </c>
      <c r="R53" s="11" t="s">
        <v>190</v>
      </c>
      <c r="S53" s="11" t="s">
        <v>190</v>
      </c>
      <c r="T53" s="14" t="s">
        <v>906</v>
      </c>
      <c r="U53" s="14" t="s">
        <v>907</v>
      </c>
      <c r="V53" s="14" t="s">
        <v>1061</v>
      </c>
      <c r="W53" s="11" t="s">
        <v>190</v>
      </c>
      <c r="X53" s="11" t="s">
        <v>190</v>
      </c>
      <c r="Y53" s="11" t="s">
        <v>190</v>
      </c>
      <c r="Z53" s="11" t="s">
        <v>190</v>
      </c>
      <c r="AA53" s="15"/>
      <c r="AB53" s="11" t="s">
        <v>190</v>
      </c>
      <c r="AC53" s="12" t="s">
        <v>1182</v>
      </c>
      <c r="AD53" s="12"/>
      <c r="AE53" s="13" t="s">
        <v>1043</v>
      </c>
      <c r="AF53" s="14" t="s">
        <v>180</v>
      </c>
      <c r="AG53" s="12"/>
      <c r="AH53" s="12"/>
    </row>
    <row r="54" spans="2:34" ht="10.25" customHeight="1" x14ac:dyDescent="0.55000000000000004">
      <c r="B54" s="14" t="s">
        <v>134</v>
      </c>
      <c r="C54" s="52">
        <v>45</v>
      </c>
      <c r="D54" s="13" t="s">
        <v>134</v>
      </c>
      <c r="E54" s="14" t="s">
        <v>387</v>
      </c>
      <c r="F54" s="14" t="s">
        <v>413</v>
      </c>
      <c r="G54" s="14" t="s">
        <v>679</v>
      </c>
      <c r="H54" s="11" t="s">
        <v>190</v>
      </c>
      <c r="I54" s="11" t="s">
        <v>190</v>
      </c>
      <c r="J54" s="11" t="s">
        <v>190</v>
      </c>
      <c r="K54" s="11" t="s">
        <v>190</v>
      </c>
      <c r="L54" s="11" t="s">
        <v>190</v>
      </c>
      <c r="M54" s="149" t="s">
        <v>823</v>
      </c>
      <c r="N54" s="11" t="s">
        <v>190</v>
      </c>
      <c r="O54" s="14" t="s">
        <v>377</v>
      </c>
      <c r="P54" s="14" t="s">
        <v>581</v>
      </c>
      <c r="Q54" s="11" t="s">
        <v>190</v>
      </c>
      <c r="R54" s="11" t="s">
        <v>190</v>
      </c>
      <c r="S54" s="11" t="s">
        <v>190</v>
      </c>
      <c r="T54" s="14" t="s">
        <v>908</v>
      </c>
      <c r="U54" s="14" t="s">
        <v>909</v>
      </c>
      <c r="V54" s="14" t="s">
        <v>596</v>
      </c>
      <c r="W54" s="11" t="s">
        <v>190</v>
      </c>
      <c r="X54" s="11" t="s">
        <v>190</v>
      </c>
      <c r="Y54" s="11" t="s">
        <v>190</v>
      </c>
      <c r="Z54" s="11" t="s">
        <v>190</v>
      </c>
      <c r="AA54" s="17"/>
      <c r="AB54" s="11" t="s">
        <v>190</v>
      </c>
      <c r="AC54" s="12" t="s">
        <v>1182</v>
      </c>
      <c r="AD54" s="12"/>
      <c r="AE54" s="13" t="s">
        <v>1043</v>
      </c>
      <c r="AF54" s="14" t="s">
        <v>180</v>
      </c>
      <c r="AG54" s="12"/>
      <c r="AH54" s="12"/>
    </row>
    <row r="55" spans="2:34" ht="10.25" customHeight="1" x14ac:dyDescent="0.55000000000000004">
      <c r="B55" s="14" t="s">
        <v>135</v>
      </c>
      <c r="C55" s="52">
        <v>46</v>
      </c>
      <c r="D55" s="13" t="s">
        <v>135</v>
      </c>
      <c r="E55" s="14" t="s">
        <v>451</v>
      </c>
      <c r="F55" s="14" t="s">
        <v>391</v>
      </c>
      <c r="G55" s="14" t="s">
        <v>681</v>
      </c>
      <c r="H55" s="11" t="s">
        <v>190</v>
      </c>
      <c r="I55" s="11" t="s">
        <v>190</v>
      </c>
      <c r="J55" s="11" t="s">
        <v>190</v>
      </c>
      <c r="K55" s="11" t="s">
        <v>190</v>
      </c>
      <c r="L55" s="151" t="s">
        <v>824</v>
      </c>
      <c r="M55" s="149" t="s">
        <v>825</v>
      </c>
      <c r="N55" s="11" t="s">
        <v>190</v>
      </c>
      <c r="O55" s="11" t="s">
        <v>190</v>
      </c>
      <c r="P55" s="14" t="s">
        <v>826</v>
      </c>
      <c r="Q55" s="11" t="s">
        <v>190</v>
      </c>
      <c r="R55" s="11" t="s">
        <v>190</v>
      </c>
      <c r="S55" s="11" t="s">
        <v>190</v>
      </c>
      <c r="T55" s="14" t="s">
        <v>910</v>
      </c>
      <c r="U55" s="14" t="s">
        <v>911</v>
      </c>
      <c r="V55" s="14" t="s">
        <v>597</v>
      </c>
      <c r="W55" s="11" t="s">
        <v>190</v>
      </c>
      <c r="X55" s="11" t="s">
        <v>190</v>
      </c>
      <c r="Y55" s="11" t="s">
        <v>190</v>
      </c>
      <c r="Z55" s="11" t="s">
        <v>190</v>
      </c>
      <c r="AA55" s="17"/>
      <c r="AB55" s="11" t="s">
        <v>190</v>
      </c>
      <c r="AC55" s="12" t="s">
        <v>1182</v>
      </c>
      <c r="AD55" s="12"/>
      <c r="AE55" s="13" t="s">
        <v>1043</v>
      </c>
      <c r="AF55" s="14" t="s">
        <v>180</v>
      </c>
      <c r="AG55" s="12"/>
      <c r="AH55" s="12"/>
    </row>
    <row r="56" spans="2:34" ht="10.25" customHeight="1" x14ac:dyDescent="0.55000000000000004">
      <c r="B56" s="14" t="s">
        <v>136</v>
      </c>
      <c r="C56" s="52">
        <v>47</v>
      </c>
      <c r="D56" s="13" t="s">
        <v>136</v>
      </c>
      <c r="E56" s="14" t="s">
        <v>384</v>
      </c>
      <c r="F56" s="14" t="s">
        <v>452</v>
      </c>
      <c r="G56" s="14" t="s">
        <v>731</v>
      </c>
      <c r="H56" s="11" t="s">
        <v>190</v>
      </c>
      <c r="I56" s="11" t="s">
        <v>190</v>
      </c>
      <c r="J56" s="11" t="s">
        <v>190</v>
      </c>
      <c r="K56" s="11" t="s">
        <v>190</v>
      </c>
      <c r="L56" s="151" t="s">
        <v>827</v>
      </c>
      <c r="M56" s="149" t="s">
        <v>828</v>
      </c>
      <c r="N56" s="11" t="s">
        <v>190</v>
      </c>
      <c r="O56" s="11" t="s">
        <v>190</v>
      </c>
      <c r="P56" s="14" t="s">
        <v>829</v>
      </c>
      <c r="Q56" s="11" t="s">
        <v>190</v>
      </c>
      <c r="R56" s="11" t="s">
        <v>190</v>
      </c>
      <c r="S56" s="11" t="s">
        <v>190</v>
      </c>
      <c r="T56" s="14" t="s">
        <v>912</v>
      </c>
      <c r="U56" s="14" t="s">
        <v>913</v>
      </c>
      <c r="V56" s="14" t="s">
        <v>598</v>
      </c>
      <c r="W56" s="11" t="s">
        <v>190</v>
      </c>
      <c r="X56" s="11" t="s">
        <v>190</v>
      </c>
      <c r="Y56" s="11" t="s">
        <v>190</v>
      </c>
      <c r="Z56" s="11" t="s">
        <v>190</v>
      </c>
      <c r="AA56" s="17"/>
      <c r="AB56" s="11" t="s">
        <v>190</v>
      </c>
      <c r="AC56" s="12" t="s">
        <v>1182</v>
      </c>
      <c r="AD56" s="12"/>
      <c r="AE56" s="13" t="s">
        <v>1043</v>
      </c>
      <c r="AF56" s="14" t="s">
        <v>180</v>
      </c>
      <c r="AG56" s="12"/>
      <c r="AH56" s="12"/>
    </row>
    <row r="57" spans="2:34" ht="10.25" customHeight="1" x14ac:dyDescent="0.55000000000000004">
      <c r="B57" s="14" t="s">
        <v>1078</v>
      </c>
      <c r="C57" s="52">
        <v>48</v>
      </c>
      <c r="D57" s="14" t="s">
        <v>141</v>
      </c>
      <c r="E57" s="14" t="s">
        <v>375</v>
      </c>
      <c r="F57" s="14" t="s">
        <v>382</v>
      </c>
      <c r="G57" s="11" t="s">
        <v>190</v>
      </c>
      <c r="H57" s="11" t="s">
        <v>190</v>
      </c>
      <c r="I57" s="150" t="s">
        <v>852</v>
      </c>
      <c r="J57" s="151" t="s">
        <v>853</v>
      </c>
      <c r="K57" s="11" t="s">
        <v>190</v>
      </c>
      <c r="L57" s="151" t="s">
        <v>854</v>
      </c>
      <c r="M57" s="149" t="s">
        <v>848</v>
      </c>
      <c r="N57" s="14" t="s">
        <v>530</v>
      </c>
      <c r="O57" s="14" t="s">
        <v>519</v>
      </c>
      <c r="P57" s="14" t="s">
        <v>524</v>
      </c>
      <c r="Q57" s="11" t="s">
        <v>190</v>
      </c>
      <c r="R57" s="11" t="s">
        <v>190</v>
      </c>
      <c r="S57" s="11" t="s">
        <v>190</v>
      </c>
      <c r="T57" s="14" t="s">
        <v>914</v>
      </c>
      <c r="U57" s="14" t="s">
        <v>915</v>
      </c>
      <c r="V57" s="11" t="s">
        <v>190</v>
      </c>
      <c r="W57" s="11" t="s">
        <v>190</v>
      </c>
      <c r="X57" s="11" t="s">
        <v>190</v>
      </c>
      <c r="Y57" s="11" t="s">
        <v>190</v>
      </c>
      <c r="Z57" s="11" t="s">
        <v>190</v>
      </c>
      <c r="AA57" s="17"/>
      <c r="AB57" s="11" t="s">
        <v>190</v>
      </c>
      <c r="AC57" s="12" t="s">
        <v>1182</v>
      </c>
      <c r="AD57" s="12"/>
      <c r="AE57" s="13" t="s">
        <v>1042</v>
      </c>
      <c r="AF57" s="14" t="s">
        <v>180</v>
      </c>
      <c r="AG57" s="12"/>
      <c r="AH57" s="12"/>
    </row>
    <row r="58" spans="2:34" ht="10.25" customHeight="1" x14ac:dyDescent="0.55000000000000004">
      <c r="B58" s="14" t="s">
        <v>142</v>
      </c>
      <c r="C58" s="52">
        <v>49</v>
      </c>
      <c r="D58" s="14" t="s">
        <v>142</v>
      </c>
      <c r="E58" s="14" t="s">
        <v>386</v>
      </c>
      <c r="F58" s="14" t="s">
        <v>379</v>
      </c>
      <c r="G58" s="11" t="s">
        <v>190</v>
      </c>
      <c r="H58" s="11" t="s">
        <v>190</v>
      </c>
      <c r="I58" s="150" t="s">
        <v>855</v>
      </c>
      <c r="J58" s="151" t="s">
        <v>856</v>
      </c>
      <c r="K58" s="11" t="s">
        <v>190</v>
      </c>
      <c r="L58" s="151" t="s">
        <v>857</v>
      </c>
      <c r="M58" s="11" t="s">
        <v>190</v>
      </c>
      <c r="N58" s="14" t="s">
        <v>525</v>
      </c>
      <c r="O58" s="14" t="s">
        <v>523</v>
      </c>
      <c r="P58" s="14" t="s">
        <v>529</v>
      </c>
      <c r="Q58" s="11" t="s">
        <v>190</v>
      </c>
      <c r="R58" s="11" t="s">
        <v>190</v>
      </c>
      <c r="S58" s="11" t="s">
        <v>190</v>
      </c>
      <c r="T58" s="14" t="s">
        <v>916</v>
      </c>
      <c r="U58" s="14" t="s">
        <v>917</v>
      </c>
      <c r="V58" s="11" t="s">
        <v>190</v>
      </c>
      <c r="W58" s="11" t="s">
        <v>190</v>
      </c>
      <c r="X58" s="11" t="s">
        <v>190</v>
      </c>
      <c r="Y58" s="11" t="s">
        <v>190</v>
      </c>
      <c r="Z58" s="11" t="s">
        <v>190</v>
      </c>
      <c r="AA58" s="17"/>
      <c r="AB58" s="11" t="s">
        <v>190</v>
      </c>
      <c r="AC58" s="12" t="s">
        <v>1182</v>
      </c>
      <c r="AD58" s="12"/>
      <c r="AE58" s="13" t="s">
        <v>1042</v>
      </c>
      <c r="AF58" s="14" t="s">
        <v>180</v>
      </c>
      <c r="AG58" s="12"/>
      <c r="AH58" s="12"/>
    </row>
    <row r="59" spans="2:34" ht="10.25" customHeight="1" x14ac:dyDescent="0.55000000000000004">
      <c r="B59" s="14" t="s">
        <v>143</v>
      </c>
      <c r="C59" s="52">
        <v>50</v>
      </c>
      <c r="D59" s="14" t="s">
        <v>143</v>
      </c>
      <c r="E59" s="14" t="s">
        <v>389</v>
      </c>
      <c r="F59" s="14" t="s">
        <v>416</v>
      </c>
      <c r="G59" s="11" t="s">
        <v>190</v>
      </c>
      <c r="H59" s="11" t="s">
        <v>190</v>
      </c>
      <c r="I59" s="150" t="s">
        <v>988</v>
      </c>
      <c r="J59" s="151" t="s">
        <v>986</v>
      </c>
      <c r="K59" s="11" t="s">
        <v>190</v>
      </c>
      <c r="L59" s="151" t="s">
        <v>858</v>
      </c>
      <c r="M59" s="11" t="s">
        <v>190</v>
      </c>
      <c r="N59" s="14" t="s">
        <v>520</v>
      </c>
      <c r="O59" s="14" t="s">
        <v>528</v>
      </c>
      <c r="P59" s="11" t="s">
        <v>190</v>
      </c>
      <c r="Q59" s="11" t="s">
        <v>190</v>
      </c>
      <c r="R59" s="11" t="s">
        <v>190</v>
      </c>
      <c r="S59" s="11" t="s">
        <v>190</v>
      </c>
      <c r="T59" s="14" t="s">
        <v>918</v>
      </c>
      <c r="U59" s="14" t="s">
        <v>919</v>
      </c>
      <c r="V59" s="11" t="s">
        <v>190</v>
      </c>
      <c r="W59" s="11" t="s">
        <v>190</v>
      </c>
      <c r="X59" s="11" t="s">
        <v>190</v>
      </c>
      <c r="Y59" s="11" t="s">
        <v>190</v>
      </c>
      <c r="Z59" s="11" t="s">
        <v>190</v>
      </c>
      <c r="AA59" s="15"/>
      <c r="AB59" s="11" t="s">
        <v>190</v>
      </c>
      <c r="AC59" s="12" t="s">
        <v>1182</v>
      </c>
      <c r="AD59" s="12"/>
      <c r="AE59" s="13" t="s">
        <v>1042</v>
      </c>
      <c r="AF59" s="14" t="s">
        <v>180</v>
      </c>
      <c r="AG59" s="12"/>
      <c r="AH59" s="12"/>
    </row>
    <row r="60" spans="2:34" ht="10.25" customHeight="1" x14ac:dyDescent="0.55000000000000004">
      <c r="B60" s="14" t="s">
        <v>144</v>
      </c>
      <c r="C60" s="52">
        <v>51</v>
      </c>
      <c r="D60" s="14" t="s">
        <v>144</v>
      </c>
      <c r="E60" s="14" t="s">
        <v>372</v>
      </c>
      <c r="F60" s="14" t="s">
        <v>421</v>
      </c>
      <c r="G60" s="14" t="s">
        <v>683</v>
      </c>
      <c r="H60" s="11" t="s">
        <v>190</v>
      </c>
      <c r="I60" s="150" t="s">
        <v>859</v>
      </c>
      <c r="J60" s="151" t="s">
        <v>987</v>
      </c>
      <c r="K60" s="11" t="s">
        <v>190</v>
      </c>
      <c r="L60" s="151" t="s">
        <v>860</v>
      </c>
      <c r="M60" s="11" t="s">
        <v>190</v>
      </c>
      <c r="N60" s="14" t="s">
        <v>534</v>
      </c>
      <c r="O60" s="14" t="s">
        <v>533</v>
      </c>
      <c r="P60" s="11" t="s">
        <v>190</v>
      </c>
      <c r="Q60" s="11" t="s">
        <v>190</v>
      </c>
      <c r="R60" s="11" t="s">
        <v>190</v>
      </c>
      <c r="S60" s="11" t="s">
        <v>190</v>
      </c>
      <c r="T60" s="14" t="s">
        <v>924</v>
      </c>
      <c r="U60" s="14" t="s">
        <v>925</v>
      </c>
      <c r="V60" s="11" t="s">
        <v>190</v>
      </c>
      <c r="W60" s="11" t="s">
        <v>190</v>
      </c>
      <c r="X60" s="11" t="s">
        <v>190</v>
      </c>
      <c r="Y60" s="11" t="s">
        <v>190</v>
      </c>
      <c r="Z60" s="11" t="s">
        <v>190</v>
      </c>
      <c r="AA60" s="15"/>
      <c r="AB60" s="11" t="s">
        <v>190</v>
      </c>
      <c r="AC60" s="12" t="s">
        <v>1182</v>
      </c>
      <c r="AD60" s="12"/>
      <c r="AE60" s="13" t="s">
        <v>1042</v>
      </c>
      <c r="AF60" s="14" t="s">
        <v>180</v>
      </c>
      <c r="AG60" s="12"/>
      <c r="AH60" s="12"/>
    </row>
    <row r="61" spans="2:34" ht="10.25" customHeight="1" x14ac:dyDescent="0.55000000000000004">
      <c r="B61" s="14" t="s">
        <v>849</v>
      </c>
      <c r="C61" s="52">
        <v>52</v>
      </c>
      <c r="D61" s="14" t="s">
        <v>849</v>
      </c>
      <c r="E61" s="14" t="s">
        <v>466</v>
      </c>
      <c r="F61" s="14" t="s">
        <v>376</v>
      </c>
      <c r="G61" s="14" t="s">
        <v>688</v>
      </c>
      <c r="H61" s="11" t="s">
        <v>190</v>
      </c>
      <c r="I61" s="11" t="s">
        <v>190</v>
      </c>
      <c r="J61" s="11" t="s">
        <v>190</v>
      </c>
      <c r="K61" s="11" t="s">
        <v>190</v>
      </c>
      <c r="L61" s="11" t="s">
        <v>190</v>
      </c>
      <c r="M61" s="11" t="s">
        <v>190</v>
      </c>
      <c r="N61" s="14" t="s">
        <v>536</v>
      </c>
      <c r="O61" s="11" t="s">
        <v>190</v>
      </c>
      <c r="P61" s="11" t="s">
        <v>190</v>
      </c>
      <c r="Q61" s="14" t="s">
        <v>128</v>
      </c>
      <c r="R61" s="11" t="s">
        <v>190</v>
      </c>
      <c r="S61" s="11" t="s">
        <v>190</v>
      </c>
      <c r="T61" s="14" t="s">
        <v>926</v>
      </c>
      <c r="U61" s="14" t="s">
        <v>927</v>
      </c>
      <c r="V61" s="11" t="s">
        <v>190</v>
      </c>
      <c r="W61" s="11" t="s">
        <v>190</v>
      </c>
      <c r="X61" s="11" t="s">
        <v>190</v>
      </c>
      <c r="Y61" s="11" t="s">
        <v>190</v>
      </c>
      <c r="Z61" s="11" t="s">
        <v>190</v>
      </c>
      <c r="AA61" s="17"/>
      <c r="AB61" s="11" t="s">
        <v>190</v>
      </c>
      <c r="AC61" s="12" t="s">
        <v>1182</v>
      </c>
      <c r="AD61" s="12"/>
      <c r="AE61" s="13" t="s">
        <v>1042</v>
      </c>
      <c r="AF61" s="14" t="s">
        <v>180</v>
      </c>
      <c r="AG61" s="12"/>
      <c r="AH61" s="12"/>
    </row>
    <row r="62" spans="2:34" ht="10.25" customHeight="1" x14ac:dyDescent="0.55000000000000004">
      <c r="B62" s="14" t="s">
        <v>850</v>
      </c>
      <c r="C62" s="52">
        <v>53</v>
      </c>
      <c r="D62" s="14" t="s">
        <v>850</v>
      </c>
      <c r="E62" s="14" t="s">
        <v>472</v>
      </c>
      <c r="F62" s="14" t="s">
        <v>470</v>
      </c>
      <c r="G62" s="11" t="s">
        <v>190</v>
      </c>
      <c r="H62" s="11" t="s">
        <v>190</v>
      </c>
      <c r="I62" s="11" t="s">
        <v>190</v>
      </c>
      <c r="J62" s="11" t="s">
        <v>190</v>
      </c>
      <c r="K62" s="11" t="s">
        <v>190</v>
      </c>
      <c r="L62" s="11" t="s">
        <v>190</v>
      </c>
      <c r="M62" s="149" t="s">
        <v>851</v>
      </c>
      <c r="N62" s="11" t="s">
        <v>190</v>
      </c>
      <c r="O62" s="11" t="s">
        <v>190</v>
      </c>
      <c r="P62" s="11" t="s">
        <v>190</v>
      </c>
      <c r="Q62" s="14" t="s">
        <v>129</v>
      </c>
      <c r="R62" s="11" t="s">
        <v>190</v>
      </c>
      <c r="S62" s="11" t="s">
        <v>190</v>
      </c>
      <c r="T62" s="14" t="s">
        <v>928</v>
      </c>
      <c r="U62" s="14" t="s">
        <v>929</v>
      </c>
      <c r="V62" s="11" t="s">
        <v>190</v>
      </c>
      <c r="W62" s="11" t="s">
        <v>190</v>
      </c>
      <c r="X62" s="11" t="s">
        <v>190</v>
      </c>
      <c r="Y62" s="11" t="s">
        <v>190</v>
      </c>
      <c r="Z62" s="11" t="s">
        <v>190</v>
      </c>
      <c r="AA62" s="17"/>
      <c r="AB62" s="11" t="s">
        <v>190</v>
      </c>
      <c r="AC62" s="12" t="s">
        <v>1182</v>
      </c>
      <c r="AD62" s="12"/>
      <c r="AE62" s="13" t="s">
        <v>1042</v>
      </c>
      <c r="AF62" s="14" t="s">
        <v>180</v>
      </c>
      <c r="AG62" s="12"/>
      <c r="AH62" s="12"/>
    </row>
    <row r="63" spans="2:34" ht="10.25" customHeight="1" x14ac:dyDescent="0.55000000000000004">
      <c r="B63" s="16" t="s">
        <v>180</v>
      </c>
      <c r="C63" s="10">
        <v>54</v>
      </c>
      <c r="D63" s="11" t="s">
        <v>190</v>
      </c>
      <c r="E63" s="11" t="s">
        <v>190</v>
      </c>
      <c r="F63" s="11" t="s">
        <v>190</v>
      </c>
      <c r="G63" s="11" t="s">
        <v>190</v>
      </c>
      <c r="H63" s="11" t="s">
        <v>190</v>
      </c>
      <c r="I63" s="11" t="s">
        <v>190</v>
      </c>
      <c r="J63" s="11" t="s">
        <v>190</v>
      </c>
      <c r="K63" s="11" t="s">
        <v>190</v>
      </c>
      <c r="L63" s="11" t="s">
        <v>190</v>
      </c>
      <c r="M63" s="11" t="s">
        <v>190</v>
      </c>
      <c r="N63" s="11" t="s">
        <v>190</v>
      </c>
      <c r="O63" s="11" t="s">
        <v>190</v>
      </c>
      <c r="P63" s="11" t="s">
        <v>190</v>
      </c>
      <c r="Q63" s="11" t="s">
        <v>190</v>
      </c>
      <c r="R63" s="11" t="s">
        <v>190</v>
      </c>
      <c r="S63" s="11" t="s">
        <v>190</v>
      </c>
      <c r="T63" s="11" t="s">
        <v>190</v>
      </c>
      <c r="U63" s="11" t="s">
        <v>190</v>
      </c>
      <c r="V63" s="11" t="s">
        <v>190</v>
      </c>
      <c r="W63" s="11" t="s">
        <v>190</v>
      </c>
      <c r="X63" s="11" t="s">
        <v>190</v>
      </c>
      <c r="Y63" s="11" t="s">
        <v>190</v>
      </c>
      <c r="Z63" s="11" t="s">
        <v>190</v>
      </c>
      <c r="AA63" s="16" t="s">
        <v>180</v>
      </c>
      <c r="AB63" s="11" t="s">
        <v>190</v>
      </c>
      <c r="AC63" s="12"/>
      <c r="AD63" s="12" t="s">
        <v>354</v>
      </c>
      <c r="AE63" s="13" t="s">
        <v>360</v>
      </c>
      <c r="AF63" s="14" t="s">
        <v>360</v>
      </c>
      <c r="AG63" s="12"/>
      <c r="AH63" s="12"/>
    </row>
    <row r="64" spans="2:34" ht="10.25" customHeight="1" x14ac:dyDescent="0.55000000000000004">
      <c r="B64" s="9" t="s">
        <v>179</v>
      </c>
      <c r="C64" s="10">
        <v>55</v>
      </c>
      <c r="D64" s="11" t="s">
        <v>190</v>
      </c>
      <c r="E64" s="11" t="s">
        <v>190</v>
      </c>
      <c r="F64" s="11" t="s">
        <v>190</v>
      </c>
      <c r="G64" s="11" t="s">
        <v>190</v>
      </c>
      <c r="H64" s="11" t="s">
        <v>190</v>
      </c>
      <c r="I64" s="11" t="s">
        <v>190</v>
      </c>
      <c r="J64" s="11" t="s">
        <v>190</v>
      </c>
      <c r="K64" s="11" t="s">
        <v>190</v>
      </c>
      <c r="L64" s="11" t="s">
        <v>190</v>
      </c>
      <c r="M64" s="11" t="s">
        <v>190</v>
      </c>
      <c r="N64" s="11" t="s">
        <v>190</v>
      </c>
      <c r="O64" s="11" t="s">
        <v>190</v>
      </c>
      <c r="P64" s="11" t="s">
        <v>190</v>
      </c>
      <c r="Q64" s="11" t="s">
        <v>190</v>
      </c>
      <c r="R64" s="11" t="s">
        <v>190</v>
      </c>
      <c r="S64" s="11" t="s">
        <v>190</v>
      </c>
      <c r="T64" s="11" t="s">
        <v>190</v>
      </c>
      <c r="U64" s="11" t="s">
        <v>190</v>
      </c>
      <c r="V64" s="11" t="s">
        <v>190</v>
      </c>
      <c r="W64" s="11" t="s">
        <v>190</v>
      </c>
      <c r="X64" s="11" t="s">
        <v>190</v>
      </c>
      <c r="Y64" s="11" t="s">
        <v>190</v>
      </c>
      <c r="Z64" s="11" t="s">
        <v>190</v>
      </c>
      <c r="AA64" s="9" t="s">
        <v>179</v>
      </c>
      <c r="AB64" s="11" t="s">
        <v>190</v>
      </c>
      <c r="AC64" s="12"/>
      <c r="AD64" s="12" t="s">
        <v>355</v>
      </c>
      <c r="AE64" s="13" t="s">
        <v>360</v>
      </c>
      <c r="AF64" s="14" t="s">
        <v>360</v>
      </c>
      <c r="AG64" s="12"/>
      <c r="AH64" s="12"/>
    </row>
    <row r="65" spans="2:34" ht="10.25" customHeight="1" x14ac:dyDescent="0.55000000000000004">
      <c r="B65" s="14" t="s">
        <v>1079</v>
      </c>
      <c r="C65" s="52">
        <v>56</v>
      </c>
      <c r="D65" s="14" t="s">
        <v>145</v>
      </c>
      <c r="E65" s="14" t="s">
        <v>479</v>
      </c>
      <c r="F65" s="14" t="s">
        <v>517</v>
      </c>
      <c r="G65" s="11" t="s">
        <v>190</v>
      </c>
      <c r="H65" s="11" t="s">
        <v>190</v>
      </c>
      <c r="I65" s="11" t="s">
        <v>190</v>
      </c>
      <c r="J65" s="11" t="s">
        <v>190</v>
      </c>
      <c r="K65" s="11" t="s">
        <v>190</v>
      </c>
      <c r="L65" s="151" t="s">
        <v>870</v>
      </c>
      <c r="M65" s="11" t="s">
        <v>190</v>
      </c>
      <c r="N65" s="14" t="s">
        <v>460</v>
      </c>
      <c r="O65" s="14" t="s">
        <v>453</v>
      </c>
      <c r="P65" s="14" t="s">
        <v>456</v>
      </c>
      <c r="Q65" s="11" t="s">
        <v>190</v>
      </c>
      <c r="R65" s="11" t="s">
        <v>190</v>
      </c>
      <c r="S65" s="11" t="s">
        <v>190</v>
      </c>
      <c r="T65" s="14" t="s">
        <v>934</v>
      </c>
      <c r="U65" s="14" t="s">
        <v>935</v>
      </c>
      <c r="V65" s="11" t="s">
        <v>190</v>
      </c>
      <c r="W65" s="11" t="s">
        <v>190</v>
      </c>
      <c r="X65" s="11" t="s">
        <v>190</v>
      </c>
      <c r="Y65" s="11" t="s">
        <v>190</v>
      </c>
      <c r="Z65" s="11" t="s">
        <v>190</v>
      </c>
      <c r="AA65" s="17"/>
      <c r="AB65" s="11" t="s">
        <v>190</v>
      </c>
      <c r="AC65" s="12" t="s">
        <v>1182</v>
      </c>
      <c r="AD65" s="12"/>
      <c r="AE65" s="13" t="s">
        <v>1042</v>
      </c>
      <c r="AF65" s="14" t="s">
        <v>180</v>
      </c>
      <c r="AG65" s="12"/>
      <c r="AH65" s="12"/>
    </row>
    <row r="66" spans="2:34" ht="10.25" customHeight="1" x14ac:dyDescent="0.55000000000000004">
      <c r="B66" s="14" t="s">
        <v>146</v>
      </c>
      <c r="C66" s="52">
        <v>57</v>
      </c>
      <c r="D66" s="14" t="s">
        <v>146</v>
      </c>
      <c r="E66" s="14" t="s">
        <v>682</v>
      </c>
      <c r="F66" s="14" t="s">
        <v>481</v>
      </c>
      <c r="G66" s="11" t="s">
        <v>190</v>
      </c>
      <c r="H66" s="11" t="s">
        <v>190</v>
      </c>
      <c r="I66" s="11" t="s">
        <v>190</v>
      </c>
      <c r="J66" s="11" t="s">
        <v>190</v>
      </c>
      <c r="K66" s="11" t="s">
        <v>190</v>
      </c>
      <c r="L66" s="151" t="s">
        <v>871</v>
      </c>
      <c r="M66" s="11" t="s">
        <v>190</v>
      </c>
      <c r="N66" s="14" t="s">
        <v>457</v>
      </c>
      <c r="O66" s="14" t="s">
        <v>455</v>
      </c>
      <c r="P66" s="14" t="s">
        <v>459</v>
      </c>
      <c r="Q66" s="11" t="s">
        <v>190</v>
      </c>
      <c r="R66" s="11" t="s">
        <v>190</v>
      </c>
      <c r="S66" s="11" t="s">
        <v>190</v>
      </c>
      <c r="T66" s="14" t="s">
        <v>936</v>
      </c>
      <c r="U66" s="14" t="s">
        <v>937</v>
      </c>
      <c r="V66" s="11" t="s">
        <v>190</v>
      </c>
      <c r="W66" s="11" t="s">
        <v>190</v>
      </c>
      <c r="X66" s="11" t="s">
        <v>190</v>
      </c>
      <c r="Y66" s="11" t="s">
        <v>190</v>
      </c>
      <c r="Z66" s="11" t="s">
        <v>190</v>
      </c>
      <c r="AA66" s="17"/>
      <c r="AB66" s="11" t="s">
        <v>190</v>
      </c>
      <c r="AC66" s="12" t="s">
        <v>1182</v>
      </c>
      <c r="AD66" s="12"/>
      <c r="AE66" s="13" t="s">
        <v>1042</v>
      </c>
      <c r="AF66" s="14" t="s">
        <v>180</v>
      </c>
      <c r="AG66" s="12"/>
      <c r="AH66" s="12"/>
    </row>
    <row r="67" spans="2:34" ht="10.25" customHeight="1" x14ac:dyDescent="0.55000000000000004">
      <c r="B67" s="14" t="s">
        <v>147</v>
      </c>
      <c r="C67" s="52">
        <v>58</v>
      </c>
      <c r="D67" s="14" t="s">
        <v>147</v>
      </c>
      <c r="E67" s="14" t="s">
        <v>686</v>
      </c>
      <c r="F67" s="14" t="s">
        <v>687</v>
      </c>
      <c r="G67" s="11" t="s">
        <v>190</v>
      </c>
      <c r="H67" s="11" t="s">
        <v>190</v>
      </c>
      <c r="I67" s="11" t="s">
        <v>190</v>
      </c>
      <c r="J67" s="11" t="s">
        <v>190</v>
      </c>
      <c r="K67" s="11" t="s">
        <v>190</v>
      </c>
      <c r="L67" s="151" t="s">
        <v>872</v>
      </c>
      <c r="M67" s="11" t="s">
        <v>190</v>
      </c>
      <c r="N67" s="14" t="s">
        <v>454</v>
      </c>
      <c r="O67" s="14" t="s">
        <v>458</v>
      </c>
      <c r="P67" s="11" t="s">
        <v>190</v>
      </c>
      <c r="Q67" s="11" t="s">
        <v>190</v>
      </c>
      <c r="R67" s="11" t="s">
        <v>190</v>
      </c>
      <c r="S67" s="11" t="s">
        <v>190</v>
      </c>
      <c r="T67" s="14" t="s">
        <v>938</v>
      </c>
      <c r="U67" s="14" t="s">
        <v>939</v>
      </c>
      <c r="V67" s="11" t="s">
        <v>190</v>
      </c>
      <c r="W67" s="11" t="s">
        <v>190</v>
      </c>
      <c r="X67" s="11" t="s">
        <v>190</v>
      </c>
      <c r="Y67" s="11" t="s">
        <v>190</v>
      </c>
      <c r="Z67" s="11" t="s">
        <v>190</v>
      </c>
      <c r="AA67" s="17"/>
      <c r="AB67" s="11" t="s">
        <v>190</v>
      </c>
      <c r="AC67" s="12" t="s">
        <v>1182</v>
      </c>
      <c r="AD67" s="12"/>
      <c r="AE67" s="13" t="s">
        <v>1042</v>
      </c>
      <c r="AF67" s="14" t="s">
        <v>180</v>
      </c>
      <c r="AG67" s="12"/>
      <c r="AH67" s="12"/>
    </row>
    <row r="68" spans="2:34" ht="10.25" customHeight="1" x14ac:dyDescent="0.55000000000000004">
      <c r="B68" s="14" t="s">
        <v>148</v>
      </c>
      <c r="C68" s="52">
        <v>59</v>
      </c>
      <c r="D68" s="14" t="s">
        <v>148</v>
      </c>
      <c r="E68" s="14" t="s">
        <v>480</v>
      </c>
      <c r="F68" s="14" t="s">
        <v>692</v>
      </c>
      <c r="G68" s="14" t="s">
        <v>693</v>
      </c>
      <c r="H68" s="11" t="s">
        <v>190</v>
      </c>
      <c r="I68" s="11" t="s">
        <v>190</v>
      </c>
      <c r="J68" s="11" t="s">
        <v>190</v>
      </c>
      <c r="K68" s="11" t="s">
        <v>190</v>
      </c>
      <c r="L68" s="151" t="s">
        <v>873</v>
      </c>
      <c r="M68" s="11" t="s">
        <v>190</v>
      </c>
      <c r="N68" s="14" t="s">
        <v>462</v>
      </c>
      <c r="O68" s="14" t="s">
        <v>461</v>
      </c>
      <c r="P68" s="11" t="s">
        <v>190</v>
      </c>
      <c r="Q68" s="11" t="s">
        <v>190</v>
      </c>
      <c r="R68" s="11" t="s">
        <v>190</v>
      </c>
      <c r="S68" s="11" t="s">
        <v>190</v>
      </c>
      <c r="T68" s="14" t="s">
        <v>940</v>
      </c>
      <c r="U68" s="14" t="s">
        <v>941</v>
      </c>
      <c r="V68" s="11" t="s">
        <v>190</v>
      </c>
      <c r="W68" s="11" t="s">
        <v>190</v>
      </c>
      <c r="X68" s="11" t="s">
        <v>190</v>
      </c>
      <c r="Y68" s="11" t="s">
        <v>190</v>
      </c>
      <c r="Z68" s="11" t="s">
        <v>190</v>
      </c>
      <c r="AA68" s="17"/>
      <c r="AB68" s="11" t="s">
        <v>190</v>
      </c>
      <c r="AC68" s="12" t="s">
        <v>1182</v>
      </c>
      <c r="AD68" s="12"/>
      <c r="AE68" s="13" t="s">
        <v>1042</v>
      </c>
      <c r="AF68" s="14" t="s">
        <v>180</v>
      </c>
      <c r="AG68" s="12"/>
      <c r="AH68" s="12"/>
    </row>
    <row r="69" spans="2:34" ht="10.25" customHeight="1" x14ac:dyDescent="0.55000000000000004">
      <c r="B69" s="14" t="s">
        <v>865</v>
      </c>
      <c r="C69" s="52">
        <v>60</v>
      </c>
      <c r="D69" s="14" t="s">
        <v>865</v>
      </c>
      <c r="E69" s="14" t="s">
        <v>482</v>
      </c>
      <c r="F69" s="14" t="s">
        <v>483</v>
      </c>
      <c r="G69" s="14" t="s">
        <v>698</v>
      </c>
      <c r="H69" s="11" t="s">
        <v>190</v>
      </c>
      <c r="I69" s="11" t="s">
        <v>190</v>
      </c>
      <c r="J69" s="11" t="s">
        <v>190</v>
      </c>
      <c r="K69" s="11" t="s">
        <v>190</v>
      </c>
      <c r="L69" s="151" t="s">
        <v>866</v>
      </c>
      <c r="M69" s="149" t="s">
        <v>867</v>
      </c>
      <c r="N69" s="14" t="s">
        <v>463</v>
      </c>
      <c r="O69" s="11" t="s">
        <v>190</v>
      </c>
      <c r="P69" s="11" t="s">
        <v>190</v>
      </c>
      <c r="Q69" s="11" t="s">
        <v>190</v>
      </c>
      <c r="R69" s="11" t="s">
        <v>190</v>
      </c>
      <c r="S69" s="11" t="s">
        <v>190</v>
      </c>
      <c r="T69" s="14" t="s">
        <v>942</v>
      </c>
      <c r="U69" s="14" t="s">
        <v>943</v>
      </c>
      <c r="V69" s="11" t="s">
        <v>190</v>
      </c>
      <c r="W69" s="11" t="s">
        <v>190</v>
      </c>
      <c r="X69" s="11" t="s">
        <v>190</v>
      </c>
      <c r="Y69" s="11" t="s">
        <v>190</v>
      </c>
      <c r="Z69" s="11" t="s">
        <v>190</v>
      </c>
      <c r="AA69" s="17"/>
      <c r="AB69" s="11" t="s">
        <v>190</v>
      </c>
      <c r="AC69" s="12" t="s">
        <v>1182</v>
      </c>
      <c r="AD69" s="12"/>
      <c r="AE69" s="13" t="s">
        <v>1042</v>
      </c>
      <c r="AF69" s="14" t="s">
        <v>180</v>
      </c>
      <c r="AG69" s="12"/>
      <c r="AH69" s="12"/>
    </row>
    <row r="70" spans="2:34" ht="10.25" customHeight="1" x14ac:dyDescent="0.55000000000000004">
      <c r="B70" s="14" t="s">
        <v>1006</v>
      </c>
      <c r="C70" s="52">
        <v>61</v>
      </c>
      <c r="D70" s="14" t="s">
        <v>149</v>
      </c>
      <c r="E70" s="14" t="s">
        <v>486</v>
      </c>
      <c r="F70" s="14" t="s">
        <v>367</v>
      </c>
      <c r="G70" s="11" t="s">
        <v>190</v>
      </c>
      <c r="H70" s="11" t="s">
        <v>190</v>
      </c>
      <c r="I70" s="11" t="s">
        <v>190</v>
      </c>
      <c r="J70" s="11" t="s">
        <v>190</v>
      </c>
      <c r="K70" s="11" t="s">
        <v>190</v>
      </c>
      <c r="L70" s="151" t="s">
        <v>1092</v>
      </c>
      <c r="M70" s="11" t="s">
        <v>190</v>
      </c>
      <c r="N70" s="14" t="s">
        <v>447</v>
      </c>
      <c r="O70" s="14" t="s">
        <v>440</v>
      </c>
      <c r="P70" s="14" t="s">
        <v>443</v>
      </c>
      <c r="Q70" s="11" t="s">
        <v>190</v>
      </c>
      <c r="R70" s="11" t="s">
        <v>190</v>
      </c>
      <c r="S70" s="11" t="s">
        <v>190</v>
      </c>
      <c r="T70" s="14" t="s">
        <v>946</v>
      </c>
      <c r="U70" s="14" t="s">
        <v>947</v>
      </c>
      <c r="V70" s="11" t="s">
        <v>190</v>
      </c>
      <c r="W70" s="11" t="s">
        <v>190</v>
      </c>
      <c r="X70" s="11" t="s">
        <v>190</v>
      </c>
      <c r="Y70" s="11" t="s">
        <v>190</v>
      </c>
      <c r="Z70" s="11" t="s">
        <v>190</v>
      </c>
      <c r="AA70" s="17"/>
      <c r="AB70" s="11" t="s">
        <v>190</v>
      </c>
      <c r="AC70" s="12" t="s">
        <v>1182</v>
      </c>
      <c r="AD70" s="12"/>
      <c r="AE70" s="13" t="s">
        <v>1042</v>
      </c>
      <c r="AF70" s="14" t="s">
        <v>180</v>
      </c>
      <c r="AG70" s="12"/>
      <c r="AH70" s="12"/>
    </row>
    <row r="71" spans="2:34" ht="10.25" customHeight="1" x14ac:dyDescent="0.55000000000000004">
      <c r="B71" s="14" t="s">
        <v>151</v>
      </c>
      <c r="C71" s="74">
        <v>62</v>
      </c>
      <c r="D71" s="14" t="s">
        <v>151</v>
      </c>
      <c r="E71" s="14" t="s">
        <v>487</v>
      </c>
      <c r="F71" s="14" t="s">
        <v>488</v>
      </c>
      <c r="G71" s="14" t="s">
        <v>874</v>
      </c>
      <c r="H71" s="11" t="s">
        <v>190</v>
      </c>
      <c r="I71" s="11" t="s">
        <v>190</v>
      </c>
      <c r="J71" s="11" t="s">
        <v>190</v>
      </c>
      <c r="K71" s="11" t="s">
        <v>190</v>
      </c>
      <c r="L71" s="151" t="s">
        <v>883</v>
      </c>
      <c r="M71" s="11" t="s">
        <v>190</v>
      </c>
      <c r="N71" s="14" t="s">
        <v>444</v>
      </c>
      <c r="O71" s="14" t="s">
        <v>442</v>
      </c>
      <c r="P71" s="14" t="s">
        <v>446</v>
      </c>
      <c r="Q71" s="11" t="s">
        <v>190</v>
      </c>
      <c r="R71" s="11" t="s">
        <v>190</v>
      </c>
      <c r="S71" s="11" t="s">
        <v>190</v>
      </c>
      <c r="T71" s="14" t="s">
        <v>948</v>
      </c>
      <c r="U71" s="14" t="s">
        <v>949</v>
      </c>
      <c r="V71" s="11" t="s">
        <v>190</v>
      </c>
      <c r="W71" s="11" t="s">
        <v>190</v>
      </c>
      <c r="X71" s="11" t="s">
        <v>190</v>
      </c>
      <c r="Y71" s="11" t="s">
        <v>190</v>
      </c>
      <c r="Z71" s="11" t="s">
        <v>190</v>
      </c>
      <c r="AA71" s="17"/>
      <c r="AB71" s="11" t="s">
        <v>190</v>
      </c>
      <c r="AC71" s="12" t="s">
        <v>1182</v>
      </c>
      <c r="AD71" s="12"/>
      <c r="AE71" s="13" t="s">
        <v>1042</v>
      </c>
      <c r="AF71" s="14" t="s">
        <v>180</v>
      </c>
      <c r="AG71" s="12"/>
      <c r="AH71" s="12"/>
    </row>
    <row r="72" spans="2:34" ht="10.25" customHeight="1" x14ac:dyDescent="0.55000000000000004">
      <c r="B72" s="14" t="s">
        <v>153</v>
      </c>
      <c r="C72" s="74">
        <v>63</v>
      </c>
      <c r="D72" s="14" t="s">
        <v>153</v>
      </c>
      <c r="E72" s="14" t="s">
        <v>489</v>
      </c>
      <c r="F72" s="14" t="s">
        <v>490</v>
      </c>
      <c r="G72" s="14" t="s">
        <v>875</v>
      </c>
      <c r="H72" s="11" t="s">
        <v>190</v>
      </c>
      <c r="I72" s="11" t="s">
        <v>190</v>
      </c>
      <c r="J72" s="11" t="s">
        <v>190</v>
      </c>
      <c r="K72" s="11" t="s">
        <v>190</v>
      </c>
      <c r="L72" s="151" t="s">
        <v>884</v>
      </c>
      <c r="M72" s="11" t="s">
        <v>190</v>
      </c>
      <c r="N72" s="14" t="s">
        <v>441</v>
      </c>
      <c r="O72" s="14" t="s">
        <v>445</v>
      </c>
      <c r="P72" s="11" t="s">
        <v>190</v>
      </c>
      <c r="Q72" s="11" t="s">
        <v>190</v>
      </c>
      <c r="R72" s="11" t="s">
        <v>190</v>
      </c>
      <c r="S72" s="11" t="s">
        <v>190</v>
      </c>
      <c r="T72" s="14" t="s">
        <v>950</v>
      </c>
      <c r="U72" s="14" t="s">
        <v>951</v>
      </c>
      <c r="V72" s="11" t="s">
        <v>190</v>
      </c>
      <c r="W72" s="11" t="s">
        <v>190</v>
      </c>
      <c r="X72" s="11" t="s">
        <v>190</v>
      </c>
      <c r="Y72" s="11" t="s">
        <v>190</v>
      </c>
      <c r="Z72" s="11" t="s">
        <v>190</v>
      </c>
      <c r="AA72" s="17"/>
      <c r="AB72" s="11" t="s">
        <v>190</v>
      </c>
      <c r="AC72" s="12" t="s">
        <v>1182</v>
      </c>
      <c r="AD72" s="12"/>
      <c r="AE72" s="13" t="s">
        <v>1042</v>
      </c>
      <c r="AF72" s="14" t="s">
        <v>180</v>
      </c>
      <c r="AG72" s="12"/>
      <c r="AH72" s="12"/>
    </row>
    <row r="73" spans="2:34" ht="10.25" customHeight="1" x14ac:dyDescent="0.55000000000000004">
      <c r="B73" s="14" t="s">
        <v>154</v>
      </c>
      <c r="C73" s="74">
        <v>64</v>
      </c>
      <c r="D73" s="14" t="s">
        <v>154</v>
      </c>
      <c r="E73" s="14" t="s">
        <v>491</v>
      </c>
      <c r="F73" s="14" t="s">
        <v>492</v>
      </c>
      <c r="G73" s="14" t="s">
        <v>876</v>
      </c>
      <c r="H73" s="11" t="s">
        <v>190</v>
      </c>
      <c r="I73" s="11" t="s">
        <v>190</v>
      </c>
      <c r="J73" s="11" t="s">
        <v>190</v>
      </c>
      <c r="K73" s="11" t="s">
        <v>190</v>
      </c>
      <c r="L73" s="14" t="s">
        <v>885</v>
      </c>
      <c r="M73" s="11" t="s">
        <v>190</v>
      </c>
      <c r="N73" s="14" t="s">
        <v>449</v>
      </c>
      <c r="O73" s="14" t="s">
        <v>448</v>
      </c>
      <c r="P73" s="11" t="s">
        <v>190</v>
      </c>
      <c r="Q73" s="14" t="s">
        <v>155</v>
      </c>
      <c r="R73" s="11" t="s">
        <v>190</v>
      </c>
      <c r="S73" s="11" t="s">
        <v>190</v>
      </c>
      <c r="T73" s="14" t="s">
        <v>952</v>
      </c>
      <c r="U73" s="14" t="s">
        <v>953</v>
      </c>
      <c r="V73" s="11" t="s">
        <v>190</v>
      </c>
      <c r="W73" s="11" t="s">
        <v>190</v>
      </c>
      <c r="X73" s="11" t="s">
        <v>190</v>
      </c>
      <c r="Y73" s="11" t="s">
        <v>190</v>
      </c>
      <c r="Z73" s="11" t="s">
        <v>190</v>
      </c>
      <c r="AA73" s="17"/>
      <c r="AB73" s="11" t="s">
        <v>190</v>
      </c>
      <c r="AC73" s="12" t="s">
        <v>1182</v>
      </c>
      <c r="AD73" s="12"/>
      <c r="AE73" s="13" t="s">
        <v>1042</v>
      </c>
      <c r="AF73" s="14" t="s">
        <v>180</v>
      </c>
      <c r="AG73" s="12"/>
      <c r="AH73" s="12"/>
    </row>
    <row r="74" spans="2:34" ht="10.25" customHeight="1" x14ac:dyDescent="0.55000000000000004">
      <c r="B74" s="14" t="s">
        <v>156</v>
      </c>
      <c r="C74" s="74">
        <v>65</v>
      </c>
      <c r="D74" s="14" t="s">
        <v>156</v>
      </c>
      <c r="E74" s="14" t="s">
        <v>493</v>
      </c>
      <c r="F74" s="14" t="s">
        <v>494</v>
      </c>
      <c r="G74" s="14" t="s">
        <v>877</v>
      </c>
      <c r="H74" s="11" t="s">
        <v>190</v>
      </c>
      <c r="I74" s="11" t="s">
        <v>190</v>
      </c>
      <c r="J74" s="11" t="s">
        <v>190</v>
      </c>
      <c r="K74" s="11" t="s">
        <v>190</v>
      </c>
      <c r="L74" s="14" t="s">
        <v>878</v>
      </c>
      <c r="M74" s="14" t="s">
        <v>879</v>
      </c>
      <c r="N74" s="14" t="s">
        <v>450</v>
      </c>
      <c r="O74" s="11" t="s">
        <v>190</v>
      </c>
      <c r="P74" s="11" t="s">
        <v>190</v>
      </c>
      <c r="Q74" s="14" t="s">
        <v>157</v>
      </c>
      <c r="R74" s="11" t="s">
        <v>190</v>
      </c>
      <c r="S74" s="11" t="s">
        <v>190</v>
      </c>
      <c r="T74" s="14" t="s">
        <v>954</v>
      </c>
      <c r="U74" s="14" t="s">
        <v>955</v>
      </c>
      <c r="V74" s="11" t="s">
        <v>190</v>
      </c>
      <c r="W74" s="11" t="s">
        <v>190</v>
      </c>
      <c r="X74" s="11" t="s">
        <v>190</v>
      </c>
      <c r="Y74" s="11" t="s">
        <v>190</v>
      </c>
      <c r="Z74" s="11" t="s">
        <v>190</v>
      </c>
      <c r="AA74" s="17"/>
      <c r="AB74" s="11" t="s">
        <v>190</v>
      </c>
      <c r="AC74" s="12" t="s">
        <v>1182</v>
      </c>
      <c r="AD74" s="12"/>
      <c r="AE74" s="13" t="s">
        <v>1042</v>
      </c>
      <c r="AF74" s="14" t="s">
        <v>180</v>
      </c>
      <c r="AG74" s="12"/>
      <c r="AH74" s="12"/>
    </row>
    <row r="75" spans="2:34" ht="10.25" customHeight="1" x14ac:dyDescent="0.55000000000000004">
      <c r="B75" s="14" t="s">
        <v>158</v>
      </c>
      <c r="C75" s="52">
        <v>66</v>
      </c>
      <c r="D75" s="14" t="s">
        <v>158</v>
      </c>
      <c r="E75" s="14" t="s">
        <v>495</v>
      </c>
      <c r="F75" s="14" t="s">
        <v>496</v>
      </c>
      <c r="G75" s="14" t="s">
        <v>722</v>
      </c>
      <c r="H75" s="11" t="s">
        <v>190</v>
      </c>
      <c r="I75" s="11" t="s">
        <v>190</v>
      </c>
      <c r="J75" s="11" t="s">
        <v>190</v>
      </c>
      <c r="K75" s="11" t="s">
        <v>190</v>
      </c>
      <c r="L75" s="11" t="s">
        <v>190</v>
      </c>
      <c r="M75" s="14" t="s">
        <v>880</v>
      </c>
      <c r="N75" s="11" t="s">
        <v>190</v>
      </c>
      <c r="O75" s="11" t="s">
        <v>190</v>
      </c>
      <c r="P75" s="11" t="s">
        <v>190</v>
      </c>
      <c r="Q75" s="11" t="s">
        <v>190</v>
      </c>
      <c r="R75" s="11" t="s">
        <v>190</v>
      </c>
      <c r="S75" s="11" t="s">
        <v>190</v>
      </c>
      <c r="T75" s="14" t="s">
        <v>956</v>
      </c>
      <c r="U75" s="14" t="s">
        <v>957</v>
      </c>
      <c r="V75" s="11" t="s">
        <v>190</v>
      </c>
      <c r="W75" s="11" t="s">
        <v>190</v>
      </c>
      <c r="X75" s="11" t="s">
        <v>190</v>
      </c>
      <c r="Y75" s="11" t="s">
        <v>190</v>
      </c>
      <c r="Z75" s="11" t="s">
        <v>190</v>
      </c>
      <c r="AA75" s="17"/>
      <c r="AB75" s="11" t="s">
        <v>190</v>
      </c>
      <c r="AC75" s="12"/>
      <c r="AD75" s="12"/>
      <c r="AE75" s="13" t="s">
        <v>1042</v>
      </c>
      <c r="AF75" s="14" t="s">
        <v>180</v>
      </c>
      <c r="AG75" s="12"/>
      <c r="AH75" s="12"/>
    </row>
    <row r="76" spans="2:34" ht="10.25" customHeight="1" x14ac:dyDescent="0.55000000000000004">
      <c r="B76" s="14" t="s">
        <v>1080</v>
      </c>
      <c r="C76" s="52">
        <v>67</v>
      </c>
      <c r="D76" s="14" t="s">
        <v>161</v>
      </c>
      <c r="E76" s="14" t="s">
        <v>509</v>
      </c>
      <c r="F76" s="14" t="s">
        <v>510</v>
      </c>
      <c r="G76" s="11" t="s">
        <v>190</v>
      </c>
      <c r="H76" s="11" t="s">
        <v>190</v>
      </c>
      <c r="I76" s="11" t="s">
        <v>190</v>
      </c>
      <c r="J76" s="11" t="s">
        <v>190</v>
      </c>
      <c r="K76" s="151" t="s">
        <v>25</v>
      </c>
      <c r="L76" s="11" t="s">
        <v>190</v>
      </c>
      <c r="M76" s="11" t="s">
        <v>190</v>
      </c>
      <c r="N76" s="14" t="s">
        <v>429</v>
      </c>
      <c r="O76" s="14" t="s">
        <v>417</v>
      </c>
      <c r="P76" s="14" t="s">
        <v>423</v>
      </c>
      <c r="Q76" s="11" t="s">
        <v>190</v>
      </c>
      <c r="R76" s="11" t="s">
        <v>190</v>
      </c>
      <c r="S76" s="11" t="s">
        <v>190</v>
      </c>
      <c r="T76" s="14" t="s">
        <v>962</v>
      </c>
      <c r="U76" s="14" t="s">
        <v>963</v>
      </c>
      <c r="V76" s="11" t="s">
        <v>190</v>
      </c>
      <c r="W76" s="11" t="s">
        <v>190</v>
      </c>
      <c r="X76" s="11" t="s">
        <v>190</v>
      </c>
      <c r="Y76" s="11" t="s">
        <v>190</v>
      </c>
      <c r="Z76" s="11" t="s">
        <v>190</v>
      </c>
      <c r="AA76" s="17"/>
      <c r="AB76" s="11" t="s">
        <v>190</v>
      </c>
      <c r="AC76" s="12" t="s">
        <v>1182</v>
      </c>
      <c r="AD76" s="12"/>
      <c r="AE76" s="13" t="s">
        <v>1042</v>
      </c>
      <c r="AF76" s="14" t="s">
        <v>180</v>
      </c>
      <c r="AG76" s="12"/>
      <c r="AH76" s="12"/>
    </row>
    <row r="77" spans="2:34" ht="10.25" customHeight="1" x14ac:dyDescent="0.55000000000000004">
      <c r="B77" s="14" t="s">
        <v>162</v>
      </c>
      <c r="C77" s="52">
        <v>68</v>
      </c>
      <c r="D77" s="14" t="s">
        <v>162</v>
      </c>
      <c r="E77" s="14" t="s">
        <v>513</v>
      </c>
      <c r="F77" s="14" t="s">
        <v>514</v>
      </c>
      <c r="G77" s="11" t="s">
        <v>190</v>
      </c>
      <c r="H77" s="11" t="s">
        <v>190</v>
      </c>
      <c r="I77" s="11" t="s">
        <v>190</v>
      </c>
      <c r="J77" s="11" t="s">
        <v>190</v>
      </c>
      <c r="K77" s="151" t="s">
        <v>27</v>
      </c>
      <c r="L77" s="11" t="s">
        <v>190</v>
      </c>
      <c r="M77" s="11" t="s">
        <v>190</v>
      </c>
      <c r="N77" s="14" t="s">
        <v>424</v>
      </c>
      <c r="O77" s="14" t="s">
        <v>422</v>
      </c>
      <c r="P77" s="14" t="s">
        <v>428</v>
      </c>
      <c r="Q77" s="11" t="s">
        <v>190</v>
      </c>
      <c r="R77" s="11" t="s">
        <v>190</v>
      </c>
      <c r="S77" s="11" t="s">
        <v>190</v>
      </c>
      <c r="T77" s="14" t="s">
        <v>964</v>
      </c>
      <c r="U77" s="14" t="s">
        <v>965</v>
      </c>
      <c r="V77" s="11" t="s">
        <v>190</v>
      </c>
      <c r="W77" s="11" t="s">
        <v>190</v>
      </c>
      <c r="X77" s="11" t="s">
        <v>190</v>
      </c>
      <c r="Y77" s="11" t="s">
        <v>190</v>
      </c>
      <c r="Z77" s="11" t="s">
        <v>190</v>
      </c>
      <c r="AA77" s="17"/>
      <c r="AB77" s="11" t="s">
        <v>190</v>
      </c>
      <c r="AC77" s="12" t="s">
        <v>1182</v>
      </c>
      <c r="AD77" s="12"/>
      <c r="AE77" s="13" t="s">
        <v>1042</v>
      </c>
      <c r="AF77" s="14" t="s">
        <v>180</v>
      </c>
      <c r="AG77" s="12"/>
      <c r="AH77" s="12"/>
    </row>
    <row r="78" spans="2:34" ht="10.25" customHeight="1" x14ac:dyDescent="0.55000000000000004">
      <c r="B78" s="14" t="s">
        <v>163</v>
      </c>
      <c r="C78" s="52">
        <v>69</v>
      </c>
      <c r="D78" s="14" t="s">
        <v>163</v>
      </c>
      <c r="E78" s="14" t="s">
        <v>515</v>
      </c>
      <c r="F78" s="14" t="s">
        <v>516</v>
      </c>
      <c r="G78" s="11" t="s">
        <v>190</v>
      </c>
      <c r="H78" s="11" t="s">
        <v>190</v>
      </c>
      <c r="I78" s="150" t="s">
        <v>22</v>
      </c>
      <c r="J78" s="151" t="s">
        <v>526</v>
      </c>
      <c r="K78" s="151" t="s">
        <v>36</v>
      </c>
      <c r="L78" s="11" t="s">
        <v>190</v>
      </c>
      <c r="M78" s="11" t="s">
        <v>190</v>
      </c>
      <c r="N78" s="14" t="s">
        <v>418</v>
      </c>
      <c r="O78" s="14" t="s">
        <v>427</v>
      </c>
      <c r="P78" s="11" t="s">
        <v>190</v>
      </c>
      <c r="Q78" s="11" t="s">
        <v>190</v>
      </c>
      <c r="R78" s="11" t="s">
        <v>190</v>
      </c>
      <c r="S78" s="11" t="s">
        <v>190</v>
      </c>
      <c r="T78" s="14" t="s">
        <v>936</v>
      </c>
      <c r="U78" s="14" t="s">
        <v>937</v>
      </c>
      <c r="V78" s="11" t="s">
        <v>190</v>
      </c>
      <c r="W78" s="11" t="s">
        <v>190</v>
      </c>
      <c r="X78" s="11" t="s">
        <v>190</v>
      </c>
      <c r="Y78" s="11" t="s">
        <v>190</v>
      </c>
      <c r="Z78" s="11" t="s">
        <v>190</v>
      </c>
      <c r="AA78" s="17"/>
      <c r="AB78" s="11" t="s">
        <v>190</v>
      </c>
      <c r="AC78" s="12" t="s">
        <v>1182</v>
      </c>
      <c r="AD78" s="12"/>
      <c r="AE78" s="13" t="s">
        <v>1042</v>
      </c>
      <c r="AF78" s="14" t="s">
        <v>180</v>
      </c>
      <c r="AG78" s="12"/>
      <c r="AH78" s="12"/>
    </row>
    <row r="79" spans="2:34" ht="10.25" customHeight="1" x14ac:dyDescent="0.55000000000000004">
      <c r="B79" s="14" t="s">
        <v>164</v>
      </c>
      <c r="C79" s="52">
        <v>70</v>
      </c>
      <c r="D79" s="14" t="s">
        <v>164</v>
      </c>
      <c r="E79" s="14" t="s">
        <v>378</v>
      </c>
      <c r="F79" s="14" t="s">
        <v>488</v>
      </c>
      <c r="G79" s="14" t="s">
        <v>874</v>
      </c>
      <c r="H79" s="11" t="s">
        <v>190</v>
      </c>
      <c r="I79" s="150" t="s">
        <v>20</v>
      </c>
      <c r="J79" s="151" t="s">
        <v>521</v>
      </c>
      <c r="K79" s="151" t="s">
        <v>40</v>
      </c>
      <c r="L79" s="11" t="s">
        <v>190</v>
      </c>
      <c r="M79" s="11" t="s">
        <v>190</v>
      </c>
      <c r="N79" s="14" t="s">
        <v>433</v>
      </c>
      <c r="O79" s="14" t="s">
        <v>432</v>
      </c>
      <c r="P79" s="11" t="s">
        <v>190</v>
      </c>
      <c r="Q79" s="11" t="s">
        <v>190</v>
      </c>
      <c r="R79" s="11" t="s">
        <v>190</v>
      </c>
      <c r="S79" s="11" t="s">
        <v>190</v>
      </c>
      <c r="T79" s="14" t="s">
        <v>938</v>
      </c>
      <c r="U79" s="14" t="s">
        <v>939</v>
      </c>
      <c r="V79" s="11" t="s">
        <v>190</v>
      </c>
      <c r="W79" s="11" t="s">
        <v>190</v>
      </c>
      <c r="X79" s="11" t="s">
        <v>190</v>
      </c>
      <c r="Y79" s="11" t="s">
        <v>190</v>
      </c>
      <c r="Z79" s="150" t="s">
        <v>967</v>
      </c>
      <c r="AA79" s="17"/>
      <c r="AB79" s="11" t="s">
        <v>190</v>
      </c>
      <c r="AC79" s="12" t="s">
        <v>1182</v>
      </c>
      <c r="AD79" s="12"/>
      <c r="AE79" s="13" t="s">
        <v>1042</v>
      </c>
      <c r="AF79" s="14" t="s">
        <v>180</v>
      </c>
      <c r="AG79" s="12"/>
      <c r="AH79" s="12"/>
    </row>
    <row r="80" spans="2:34" ht="10.25" customHeight="1" x14ac:dyDescent="0.55000000000000004">
      <c r="B80" s="14" t="s">
        <v>165</v>
      </c>
      <c r="C80" s="52">
        <v>71</v>
      </c>
      <c r="D80" s="14" t="s">
        <v>165</v>
      </c>
      <c r="E80" s="14" t="s">
        <v>375</v>
      </c>
      <c r="F80" s="14" t="s">
        <v>382</v>
      </c>
      <c r="G80" s="14" t="s">
        <v>875</v>
      </c>
      <c r="H80" s="11" t="s">
        <v>190</v>
      </c>
      <c r="I80" s="150" t="s">
        <v>24</v>
      </c>
      <c r="J80" s="151" t="s">
        <v>531</v>
      </c>
      <c r="K80" s="11" t="s">
        <v>190</v>
      </c>
      <c r="L80" s="11" t="s">
        <v>190</v>
      </c>
      <c r="M80" s="11" t="s">
        <v>190</v>
      </c>
      <c r="N80" s="14" t="s">
        <v>436</v>
      </c>
      <c r="O80" s="11" t="s">
        <v>190</v>
      </c>
      <c r="P80" s="11" t="s">
        <v>190</v>
      </c>
      <c r="Q80" s="14" t="s">
        <v>172</v>
      </c>
      <c r="R80" s="11" t="s">
        <v>190</v>
      </c>
      <c r="S80" s="11" t="s">
        <v>190</v>
      </c>
      <c r="T80" s="14" t="s">
        <v>940</v>
      </c>
      <c r="U80" s="14" t="s">
        <v>941</v>
      </c>
      <c r="V80" s="11" t="s">
        <v>190</v>
      </c>
      <c r="W80" s="11" t="s">
        <v>190</v>
      </c>
      <c r="X80" s="11" t="s">
        <v>190</v>
      </c>
      <c r="Y80" s="11" t="s">
        <v>190</v>
      </c>
      <c r="Z80" s="11" t="s">
        <v>190</v>
      </c>
      <c r="AA80" s="17"/>
      <c r="AB80" s="11" t="s">
        <v>190</v>
      </c>
      <c r="AC80" s="12" t="s">
        <v>1182</v>
      </c>
      <c r="AD80" s="12"/>
      <c r="AE80" s="13" t="s">
        <v>1042</v>
      </c>
      <c r="AF80" s="14" t="s">
        <v>180</v>
      </c>
      <c r="AG80" s="12"/>
      <c r="AH80" s="12"/>
    </row>
    <row r="81" spans="2:34" ht="10.25" customHeight="1" x14ac:dyDescent="0.55000000000000004">
      <c r="B81" s="16" t="s">
        <v>180</v>
      </c>
      <c r="C81" s="10">
        <v>72</v>
      </c>
      <c r="D81" s="11" t="s">
        <v>190</v>
      </c>
      <c r="E81" s="11" t="s">
        <v>190</v>
      </c>
      <c r="F81" s="11" t="s">
        <v>190</v>
      </c>
      <c r="G81" s="11" t="s">
        <v>190</v>
      </c>
      <c r="H81" s="11" t="s">
        <v>190</v>
      </c>
      <c r="I81" s="11" t="s">
        <v>190</v>
      </c>
      <c r="J81" s="11" t="s">
        <v>190</v>
      </c>
      <c r="K81" s="11" t="s">
        <v>190</v>
      </c>
      <c r="L81" s="11" t="s">
        <v>190</v>
      </c>
      <c r="M81" s="11" t="s">
        <v>190</v>
      </c>
      <c r="N81" s="11" t="s">
        <v>190</v>
      </c>
      <c r="O81" s="11" t="s">
        <v>190</v>
      </c>
      <c r="P81" s="11" t="s">
        <v>190</v>
      </c>
      <c r="Q81" s="11" t="s">
        <v>190</v>
      </c>
      <c r="R81" s="11" t="s">
        <v>190</v>
      </c>
      <c r="S81" s="11" t="s">
        <v>190</v>
      </c>
      <c r="T81" s="11" t="s">
        <v>190</v>
      </c>
      <c r="U81" s="11" t="s">
        <v>190</v>
      </c>
      <c r="V81" s="11" t="s">
        <v>190</v>
      </c>
      <c r="W81" s="11" t="s">
        <v>190</v>
      </c>
      <c r="X81" s="11" t="s">
        <v>190</v>
      </c>
      <c r="Y81" s="11" t="s">
        <v>190</v>
      </c>
      <c r="Z81" s="11" t="s">
        <v>190</v>
      </c>
      <c r="AA81" s="16" t="s">
        <v>180</v>
      </c>
      <c r="AB81" s="11" t="s">
        <v>190</v>
      </c>
      <c r="AC81" s="12"/>
      <c r="AD81" s="12" t="s">
        <v>354</v>
      </c>
      <c r="AE81" s="13" t="s">
        <v>360</v>
      </c>
      <c r="AF81" s="14" t="s">
        <v>360</v>
      </c>
      <c r="AG81" s="12"/>
      <c r="AH81" s="12"/>
    </row>
    <row r="82" spans="2:34" ht="10.25" customHeight="1" x14ac:dyDescent="0.55000000000000004">
      <c r="B82" s="9" t="s">
        <v>179</v>
      </c>
      <c r="C82" s="10">
        <v>73</v>
      </c>
      <c r="D82" s="11" t="s">
        <v>190</v>
      </c>
      <c r="E82" s="11" t="s">
        <v>190</v>
      </c>
      <c r="F82" s="11" t="s">
        <v>190</v>
      </c>
      <c r="G82" s="11" t="s">
        <v>190</v>
      </c>
      <c r="H82" s="11" t="s">
        <v>190</v>
      </c>
      <c r="I82" s="11" t="s">
        <v>190</v>
      </c>
      <c r="J82" s="11" t="s">
        <v>190</v>
      </c>
      <c r="K82" s="11" t="s">
        <v>190</v>
      </c>
      <c r="L82" s="11" t="s">
        <v>190</v>
      </c>
      <c r="M82" s="11" t="s">
        <v>190</v>
      </c>
      <c r="N82" s="11" t="s">
        <v>190</v>
      </c>
      <c r="O82" s="11" t="s">
        <v>190</v>
      </c>
      <c r="P82" s="11" t="s">
        <v>190</v>
      </c>
      <c r="Q82" s="11" t="s">
        <v>190</v>
      </c>
      <c r="R82" s="11" t="s">
        <v>190</v>
      </c>
      <c r="S82" s="11" t="s">
        <v>190</v>
      </c>
      <c r="T82" s="11" t="s">
        <v>190</v>
      </c>
      <c r="U82" s="11" t="s">
        <v>190</v>
      </c>
      <c r="V82" s="11" t="s">
        <v>190</v>
      </c>
      <c r="W82" s="11" t="s">
        <v>190</v>
      </c>
      <c r="X82" s="11" t="s">
        <v>190</v>
      </c>
      <c r="Y82" s="11" t="s">
        <v>190</v>
      </c>
      <c r="Z82" s="11" t="s">
        <v>190</v>
      </c>
      <c r="AA82" s="9" t="s">
        <v>179</v>
      </c>
      <c r="AB82" s="11" t="s">
        <v>190</v>
      </c>
      <c r="AC82" s="12"/>
      <c r="AD82" s="12" t="s">
        <v>355</v>
      </c>
      <c r="AE82" s="13" t="s">
        <v>360</v>
      </c>
      <c r="AF82" s="14" t="s">
        <v>360</v>
      </c>
      <c r="AG82" s="12"/>
      <c r="AH82" s="12"/>
    </row>
    <row r="83" spans="2:34" ht="10.25" customHeight="1" x14ac:dyDescent="0.55000000000000004">
      <c r="B83" s="14" t="s">
        <v>1081</v>
      </c>
      <c r="C83" s="52">
        <v>74</v>
      </c>
      <c r="D83" s="14" t="s">
        <v>169</v>
      </c>
      <c r="E83" s="14" t="s">
        <v>369</v>
      </c>
      <c r="F83" s="14" t="s">
        <v>475</v>
      </c>
      <c r="G83" s="11" t="s">
        <v>190</v>
      </c>
      <c r="H83" s="11" t="s">
        <v>190</v>
      </c>
      <c r="I83" s="150" t="s">
        <v>39</v>
      </c>
      <c r="J83" s="151" t="s">
        <v>468</v>
      </c>
      <c r="K83" s="151" t="s">
        <v>150</v>
      </c>
      <c r="L83" s="11" t="s">
        <v>190</v>
      </c>
      <c r="M83" s="11" t="s">
        <v>190</v>
      </c>
      <c r="N83" s="14" t="s">
        <v>589</v>
      </c>
      <c r="O83" s="14" t="s">
        <v>582</v>
      </c>
      <c r="P83" s="14" t="s">
        <v>585</v>
      </c>
      <c r="Q83" s="11" t="s">
        <v>190</v>
      </c>
      <c r="R83" s="11" t="s">
        <v>190</v>
      </c>
      <c r="S83" s="14" t="s">
        <v>1117</v>
      </c>
      <c r="T83" s="14" t="s">
        <v>944</v>
      </c>
      <c r="U83" s="14" t="s">
        <v>945</v>
      </c>
      <c r="V83" s="11" t="s">
        <v>190</v>
      </c>
      <c r="W83" s="11" t="s">
        <v>190</v>
      </c>
      <c r="X83" s="11" t="s">
        <v>190</v>
      </c>
      <c r="Y83" s="11" t="s">
        <v>190</v>
      </c>
      <c r="Z83" s="11" t="s">
        <v>190</v>
      </c>
      <c r="AA83" s="15"/>
      <c r="AB83" s="11" t="s">
        <v>190</v>
      </c>
      <c r="AC83" s="12" t="s">
        <v>1182</v>
      </c>
      <c r="AD83" s="12"/>
      <c r="AE83" s="13" t="s">
        <v>1042</v>
      </c>
      <c r="AF83" s="14" t="s">
        <v>180</v>
      </c>
      <c r="AG83" s="12"/>
      <c r="AH83" s="12"/>
    </row>
    <row r="84" spans="2:34" ht="10.25" customHeight="1" x14ac:dyDescent="0.55000000000000004">
      <c r="B84" s="14" t="s">
        <v>170</v>
      </c>
      <c r="C84" s="52">
        <v>75</v>
      </c>
      <c r="D84" s="14" t="s">
        <v>170</v>
      </c>
      <c r="E84" s="14" t="s">
        <v>366</v>
      </c>
      <c r="F84" s="14" t="s">
        <v>373</v>
      </c>
      <c r="G84" s="11" t="s">
        <v>190</v>
      </c>
      <c r="H84" s="11" t="s">
        <v>190</v>
      </c>
      <c r="I84" s="150" t="s">
        <v>35</v>
      </c>
      <c r="J84" s="151" t="s">
        <v>465</v>
      </c>
      <c r="K84" s="151" t="s">
        <v>152</v>
      </c>
      <c r="L84" s="11" t="s">
        <v>190</v>
      </c>
      <c r="M84" s="11" t="s">
        <v>190</v>
      </c>
      <c r="N84" s="14" t="s">
        <v>586</v>
      </c>
      <c r="O84" s="14" t="s">
        <v>584</v>
      </c>
      <c r="P84" s="14" t="s">
        <v>588</v>
      </c>
      <c r="Q84" s="11" t="s">
        <v>190</v>
      </c>
      <c r="R84" s="11" t="s">
        <v>190</v>
      </c>
      <c r="S84" s="14" t="s">
        <v>1118</v>
      </c>
      <c r="T84" s="14" t="s">
        <v>950</v>
      </c>
      <c r="U84" s="14" t="s">
        <v>951</v>
      </c>
      <c r="V84" s="11" t="s">
        <v>190</v>
      </c>
      <c r="W84" s="11" t="s">
        <v>190</v>
      </c>
      <c r="X84" s="11" t="s">
        <v>190</v>
      </c>
      <c r="Y84" s="11" t="s">
        <v>190</v>
      </c>
      <c r="Z84" s="11" t="s">
        <v>190</v>
      </c>
      <c r="AA84" s="15"/>
      <c r="AB84" s="11" t="s">
        <v>190</v>
      </c>
      <c r="AC84" s="12" t="s">
        <v>1182</v>
      </c>
      <c r="AD84" s="12"/>
      <c r="AE84" s="13" t="s">
        <v>1042</v>
      </c>
      <c r="AF84" s="14" t="s">
        <v>180</v>
      </c>
      <c r="AG84" s="12"/>
      <c r="AH84" s="12"/>
    </row>
    <row r="85" spans="2:34" ht="10.25" customHeight="1" x14ac:dyDescent="0.55000000000000004">
      <c r="B85" s="14" t="s">
        <v>171</v>
      </c>
      <c r="C85" s="52">
        <v>76</v>
      </c>
      <c r="D85" s="14" t="s">
        <v>171</v>
      </c>
      <c r="E85" s="14" t="s">
        <v>479</v>
      </c>
      <c r="F85" s="14" t="s">
        <v>370</v>
      </c>
      <c r="G85" s="14" t="s">
        <v>733</v>
      </c>
      <c r="H85" s="11" t="s">
        <v>190</v>
      </c>
      <c r="I85" s="150" t="s">
        <v>43</v>
      </c>
      <c r="J85" s="151" t="s">
        <v>471</v>
      </c>
      <c r="K85" s="151" t="s">
        <v>130</v>
      </c>
      <c r="L85" s="11" t="s">
        <v>190</v>
      </c>
      <c r="M85" s="11" t="s">
        <v>190</v>
      </c>
      <c r="N85" s="14" t="s">
        <v>583</v>
      </c>
      <c r="O85" s="14" t="s">
        <v>587</v>
      </c>
      <c r="P85" s="11" t="s">
        <v>190</v>
      </c>
      <c r="Q85" s="11" t="s">
        <v>190</v>
      </c>
      <c r="R85" s="11" t="s">
        <v>190</v>
      </c>
      <c r="S85" s="14" t="s">
        <v>1121</v>
      </c>
      <c r="T85" s="14" t="s">
        <v>952</v>
      </c>
      <c r="U85" s="14" t="s">
        <v>953</v>
      </c>
      <c r="V85" s="11" t="s">
        <v>190</v>
      </c>
      <c r="W85" s="11" t="s">
        <v>190</v>
      </c>
      <c r="X85" s="11" t="s">
        <v>190</v>
      </c>
      <c r="Y85" s="11" t="s">
        <v>190</v>
      </c>
      <c r="Z85" s="11" t="s">
        <v>190</v>
      </c>
      <c r="AA85" s="17"/>
      <c r="AB85" s="11" t="s">
        <v>190</v>
      </c>
      <c r="AC85" s="12" t="s">
        <v>1182</v>
      </c>
      <c r="AD85" s="12"/>
      <c r="AE85" s="13" t="s">
        <v>1042</v>
      </c>
      <c r="AF85" s="14" t="s">
        <v>180</v>
      </c>
      <c r="AG85" s="12"/>
      <c r="AH85" s="12"/>
    </row>
    <row r="86" spans="2:34" ht="10.25" customHeight="1" x14ac:dyDescent="0.55000000000000004">
      <c r="B86" s="14" t="s">
        <v>173</v>
      </c>
      <c r="C86" s="52">
        <v>77</v>
      </c>
      <c r="D86" s="14" t="s">
        <v>173</v>
      </c>
      <c r="E86" s="14" t="s">
        <v>480</v>
      </c>
      <c r="F86" s="14" t="s">
        <v>481</v>
      </c>
      <c r="G86" s="14" t="s">
        <v>716</v>
      </c>
      <c r="H86" s="11" t="s">
        <v>190</v>
      </c>
      <c r="I86" s="11" t="s">
        <v>190</v>
      </c>
      <c r="J86" s="11" t="s">
        <v>190</v>
      </c>
      <c r="K86" s="151" t="s">
        <v>132</v>
      </c>
      <c r="L86" s="11" t="s">
        <v>190</v>
      </c>
      <c r="M86" s="11" t="s">
        <v>190</v>
      </c>
      <c r="N86" s="14" t="s">
        <v>591</v>
      </c>
      <c r="O86" s="14" t="s">
        <v>590</v>
      </c>
      <c r="P86" s="11" t="s">
        <v>190</v>
      </c>
      <c r="Q86" s="11" t="s">
        <v>190</v>
      </c>
      <c r="R86" s="11" t="s">
        <v>190</v>
      </c>
      <c r="S86" s="14" t="s">
        <v>1120</v>
      </c>
      <c r="T86" s="14" t="s">
        <v>958</v>
      </c>
      <c r="U86" s="14" t="s">
        <v>959</v>
      </c>
      <c r="V86" s="11" t="s">
        <v>190</v>
      </c>
      <c r="W86" s="11" t="s">
        <v>190</v>
      </c>
      <c r="X86" s="11" t="s">
        <v>190</v>
      </c>
      <c r="Y86" s="11" t="s">
        <v>190</v>
      </c>
      <c r="Z86" s="11" t="s">
        <v>190</v>
      </c>
      <c r="AA86" s="17"/>
      <c r="AB86" s="11" t="s">
        <v>190</v>
      </c>
      <c r="AC86" s="12" t="s">
        <v>1182</v>
      </c>
      <c r="AD86" s="12"/>
      <c r="AE86" s="13" t="s">
        <v>1042</v>
      </c>
      <c r="AF86" s="14" t="s">
        <v>180</v>
      </c>
      <c r="AG86" s="12"/>
      <c r="AH86" s="12"/>
    </row>
    <row r="87" spans="2:34" ht="10.25" customHeight="1" x14ac:dyDescent="0.55000000000000004">
      <c r="B87" s="14" t="s">
        <v>174</v>
      </c>
      <c r="C87" s="52">
        <v>78</v>
      </c>
      <c r="D87" s="14" t="s">
        <v>174</v>
      </c>
      <c r="E87" s="14" t="s">
        <v>482</v>
      </c>
      <c r="F87" s="14" t="s">
        <v>483</v>
      </c>
      <c r="G87" s="14" t="s">
        <v>719</v>
      </c>
      <c r="H87" s="11" t="s">
        <v>190</v>
      </c>
      <c r="I87" s="11" t="s">
        <v>190</v>
      </c>
      <c r="J87" s="11" t="s">
        <v>190</v>
      </c>
      <c r="K87" s="11" t="s">
        <v>190</v>
      </c>
      <c r="L87" s="11" t="s">
        <v>190</v>
      </c>
      <c r="M87" s="11" t="s">
        <v>190</v>
      </c>
      <c r="N87" s="14" t="s">
        <v>592</v>
      </c>
      <c r="O87" s="11" t="s">
        <v>190</v>
      </c>
      <c r="P87" s="11" t="s">
        <v>190</v>
      </c>
      <c r="Q87" s="11" t="s">
        <v>190</v>
      </c>
      <c r="R87" s="11" t="s">
        <v>190</v>
      </c>
      <c r="S87" s="11" t="s">
        <v>190</v>
      </c>
      <c r="T87" s="14" t="s">
        <v>960</v>
      </c>
      <c r="U87" s="14" t="s">
        <v>961</v>
      </c>
      <c r="V87" s="11" t="s">
        <v>190</v>
      </c>
      <c r="W87" s="11" t="s">
        <v>190</v>
      </c>
      <c r="X87" s="11" t="s">
        <v>190</v>
      </c>
      <c r="Y87" s="11" t="s">
        <v>190</v>
      </c>
      <c r="Z87" s="11" t="s">
        <v>190</v>
      </c>
      <c r="AA87" s="17"/>
      <c r="AB87" s="11" t="s">
        <v>190</v>
      </c>
      <c r="AC87" s="12" t="s">
        <v>1182</v>
      </c>
      <c r="AD87" s="12"/>
      <c r="AE87" s="13" t="s">
        <v>1042</v>
      </c>
      <c r="AF87" s="14" t="s">
        <v>180</v>
      </c>
      <c r="AG87" s="12"/>
      <c r="AH87" s="12"/>
    </row>
    <row r="88" spans="2:34" ht="10.25" customHeight="1" x14ac:dyDescent="0.55000000000000004">
      <c r="B88" s="9" t="s">
        <v>179</v>
      </c>
      <c r="C88" s="10">
        <v>79</v>
      </c>
      <c r="D88" s="11" t="s">
        <v>190</v>
      </c>
      <c r="E88" s="11" t="s">
        <v>190</v>
      </c>
      <c r="F88" s="11" t="s">
        <v>190</v>
      </c>
      <c r="G88" s="11" t="s">
        <v>190</v>
      </c>
      <c r="H88" s="11" t="s">
        <v>190</v>
      </c>
      <c r="I88" s="11" t="s">
        <v>190</v>
      </c>
      <c r="J88" s="11" t="s">
        <v>190</v>
      </c>
      <c r="K88" s="11" t="s">
        <v>190</v>
      </c>
      <c r="L88" s="11" t="s">
        <v>190</v>
      </c>
      <c r="M88" s="11" t="s">
        <v>190</v>
      </c>
      <c r="N88" s="11" t="s">
        <v>190</v>
      </c>
      <c r="O88" s="11" t="s">
        <v>190</v>
      </c>
      <c r="P88" s="11" t="s">
        <v>190</v>
      </c>
      <c r="Q88" s="11" t="s">
        <v>190</v>
      </c>
      <c r="R88" s="11" t="s">
        <v>190</v>
      </c>
      <c r="S88" s="11" t="s">
        <v>190</v>
      </c>
      <c r="T88" s="11" t="s">
        <v>190</v>
      </c>
      <c r="U88" s="11" t="s">
        <v>190</v>
      </c>
      <c r="V88" s="11" t="s">
        <v>190</v>
      </c>
      <c r="W88" s="11" t="s">
        <v>190</v>
      </c>
      <c r="X88" s="11" t="s">
        <v>190</v>
      </c>
      <c r="Y88" s="11" t="s">
        <v>190</v>
      </c>
      <c r="Z88" s="11" t="s">
        <v>190</v>
      </c>
      <c r="AA88" s="9" t="s">
        <v>179</v>
      </c>
      <c r="AB88" s="11" t="s">
        <v>190</v>
      </c>
      <c r="AC88" s="12"/>
      <c r="AD88" s="12" t="s">
        <v>355</v>
      </c>
      <c r="AE88" s="13" t="s">
        <v>360</v>
      </c>
      <c r="AF88" s="14" t="s">
        <v>360</v>
      </c>
      <c r="AG88" s="12"/>
      <c r="AH88" s="12"/>
    </row>
    <row r="89" spans="2:34" ht="10.25" customHeight="1" x14ac:dyDescent="0.55000000000000004">
      <c r="B89" s="14" t="s">
        <v>1082</v>
      </c>
      <c r="C89" s="52">
        <v>80</v>
      </c>
      <c r="D89" s="14" t="s">
        <v>19</v>
      </c>
      <c r="E89" s="11" t="s">
        <v>190</v>
      </c>
      <c r="F89" s="11" t="s">
        <v>190</v>
      </c>
      <c r="G89" s="11" t="s">
        <v>190</v>
      </c>
      <c r="H89" s="11" t="s">
        <v>190</v>
      </c>
      <c r="I89" s="11" t="s">
        <v>190</v>
      </c>
      <c r="J89" s="11" t="s">
        <v>190</v>
      </c>
      <c r="K89" s="11" t="s">
        <v>190</v>
      </c>
      <c r="L89" s="11" t="s">
        <v>190</v>
      </c>
      <c r="M89" s="11" t="s">
        <v>190</v>
      </c>
      <c r="N89" s="11" t="s">
        <v>190</v>
      </c>
      <c r="O89" s="11" t="s">
        <v>190</v>
      </c>
      <c r="P89" s="11" t="s">
        <v>190</v>
      </c>
      <c r="Q89" s="11" t="s">
        <v>190</v>
      </c>
      <c r="R89" s="11" t="s">
        <v>190</v>
      </c>
      <c r="S89" s="11" t="s">
        <v>190</v>
      </c>
      <c r="T89" s="11" t="s">
        <v>190</v>
      </c>
      <c r="U89" s="11" t="s">
        <v>190</v>
      </c>
      <c r="V89" s="11" t="s">
        <v>190</v>
      </c>
      <c r="W89" s="11" t="s">
        <v>190</v>
      </c>
      <c r="X89" s="11" t="s">
        <v>190</v>
      </c>
      <c r="Y89" s="154" t="s">
        <v>1111</v>
      </c>
      <c r="Z89" s="155" t="s">
        <v>1109</v>
      </c>
      <c r="AA89" s="17"/>
      <c r="AB89" s="11" t="s">
        <v>190</v>
      </c>
      <c r="AC89" s="12"/>
      <c r="AD89" s="12"/>
      <c r="AE89" s="156" t="s">
        <v>189</v>
      </c>
      <c r="AF89" s="14" t="s">
        <v>180</v>
      </c>
      <c r="AG89" s="12"/>
      <c r="AH89" s="12"/>
    </row>
    <row r="90" spans="2:34" ht="10.25" customHeight="1" x14ac:dyDescent="0.55000000000000004">
      <c r="B90" s="14" t="s">
        <v>21</v>
      </c>
      <c r="C90" s="52">
        <v>81</v>
      </c>
      <c r="D90" s="14" t="s">
        <v>21</v>
      </c>
      <c r="E90" s="11" t="s">
        <v>190</v>
      </c>
      <c r="F90" s="11" t="s">
        <v>190</v>
      </c>
      <c r="G90" s="11" t="s">
        <v>190</v>
      </c>
      <c r="H90" s="11" t="s">
        <v>190</v>
      </c>
      <c r="I90" s="11" t="s">
        <v>190</v>
      </c>
      <c r="J90" s="11" t="s">
        <v>190</v>
      </c>
      <c r="K90" s="11" t="s">
        <v>190</v>
      </c>
      <c r="L90" s="11" t="s">
        <v>190</v>
      </c>
      <c r="M90" s="11" t="s">
        <v>190</v>
      </c>
      <c r="N90" s="11" t="s">
        <v>190</v>
      </c>
      <c r="O90" s="11" t="s">
        <v>190</v>
      </c>
      <c r="P90" s="11" t="s">
        <v>190</v>
      </c>
      <c r="Q90" s="11" t="s">
        <v>190</v>
      </c>
      <c r="R90" s="11" t="s">
        <v>190</v>
      </c>
      <c r="S90" s="11" t="s">
        <v>190</v>
      </c>
      <c r="T90" s="11" t="s">
        <v>190</v>
      </c>
      <c r="U90" s="11" t="s">
        <v>190</v>
      </c>
      <c r="V90" s="11" t="s">
        <v>190</v>
      </c>
      <c r="W90" s="11" t="s">
        <v>190</v>
      </c>
      <c r="X90" s="11" t="s">
        <v>190</v>
      </c>
      <c r="Y90" s="154" t="s">
        <v>1112</v>
      </c>
      <c r="Z90" s="155" t="s">
        <v>1110</v>
      </c>
      <c r="AA90" s="17"/>
      <c r="AB90" s="11" t="s">
        <v>190</v>
      </c>
      <c r="AC90" s="12"/>
      <c r="AD90" s="12"/>
      <c r="AE90" s="156" t="s">
        <v>189</v>
      </c>
      <c r="AF90" s="14" t="s">
        <v>180</v>
      </c>
      <c r="AG90" s="12"/>
      <c r="AH90" s="12"/>
    </row>
    <row r="91" spans="2:34" ht="10.25" customHeight="1" x14ac:dyDescent="0.55000000000000004">
      <c r="B91" s="14" t="s">
        <v>23</v>
      </c>
      <c r="C91" s="52">
        <v>82</v>
      </c>
      <c r="D91" s="14" t="s">
        <v>23</v>
      </c>
      <c r="E91" s="11" t="s">
        <v>190</v>
      </c>
      <c r="F91" s="11" t="s">
        <v>190</v>
      </c>
      <c r="G91" s="11" t="s">
        <v>190</v>
      </c>
      <c r="H91" s="11" t="s">
        <v>190</v>
      </c>
      <c r="I91" s="11" t="s">
        <v>190</v>
      </c>
      <c r="J91" s="11" t="s">
        <v>190</v>
      </c>
      <c r="K91" s="11" t="s">
        <v>190</v>
      </c>
      <c r="L91" s="11" t="s">
        <v>190</v>
      </c>
      <c r="M91" s="11" t="s">
        <v>190</v>
      </c>
      <c r="N91" s="11" t="s">
        <v>190</v>
      </c>
      <c r="O91" s="11" t="s">
        <v>190</v>
      </c>
      <c r="P91" s="11" t="s">
        <v>190</v>
      </c>
      <c r="Q91" s="11" t="s">
        <v>190</v>
      </c>
      <c r="R91" s="14" t="s">
        <v>175</v>
      </c>
      <c r="S91" s="11" t="s">
        <v>190</v>
      </c>
      <c r="T91" s="11" t="s">
        <v>190</v>
      </c>
      <c r="U91" s="11" t="s">
        <v>190</v>
      </c>
      <c r="V91" s="11" t="s">
        <v>190</v>
      </c>
      <c r="W91" s="11" t="s">
        <v>190</v>
      </c>
      <c r="X91" s="11" t="s">
        <v>190</v>
      </c>
      <c r="Y91" s="154" t="s">
        <v>629</v>
      </c>
      <c r="Z91" s="11" t="s">
        <v>190</v>
      </c>
      <c r="AA91" s="17"/>
      <c r="AB91" s="11" t="s">
        <v>190</v>
      </c>
      <c r="AC91" s="12"/>
      <c r="AD91" s="12"/>
      <c r="AE91" s="156" t="s">
        <v>189</v>
      </c>
      <c r="AF91" s="14" t="s">
        <v>180</v>
      </c>
      <c r="AG91" s="12"/>
      <c r="AH91" s="12"/>
    </row>
    <row r="92" spans="2:34" ht="10.25" customHeight="1" x14ac:dyDescent="0.55000000000000004">
      <c r="B92" s="14" t="s">
        <v>26</v>
      </c>
      <c r="C92" s="52">
        <v>83</v>
      </c>
      <c r="D92" s="14" t="s">
        <v>26</v>
      </c>
      <c r="E92" s="11" t="s">
        <v>190</v>
      </c>
      <c r="F92" s="11" t="s">
        <v>190</v>
      </c>
      <c r="G92" s="11" t="s">
        <v>190</v>
      </c>
      <c r="H92" s="11" t="s">
        <v>190</v>
      </c>
      <c r="I92" s="11" t="s">
        <v>190</v>
      </c>
      <c r="J92" s="11" t="s">
        <v>190</v>
      </c>
      <c r="K92" s="11" t="s">
        <v>190</v>
      </c>
      <c r="L92" s="11" t="s">
        <v>190</v>
      </c>
      <c r="M92" s="11" t="s">
        <v>190</v>
      </c>
      <c r="N92" s="11" t="s">
        <v>190</v>
      </c>
      <c r="O92" s="11" t="s">
        <v>190</v>
      </c>
      <c r="P92" s="11" t="s">
        <v>190</v>
      </c>
      <c r="Q92" s="11" t="s">
        <v>190</v>
      </c>
      <c r="R92" s="11" t="s">
        <v>190</v>
      </c>
      <c r="S92" s="11" t="s">
        <v>190</v>
      </c>
      <c r="T92" s="11" t="s">
        <v>190</v>
      </c>
      <c r="U92" s="11" t="s">
        <v>190</v>
      </c>
      <c r="V92" s="11" t="s">
        <v>190</v>
      </c>
      <c r="W92" s="11" t="s">
        <v>190</v>
      </c>
      <c r="X92" s="11" t="s">
        <v>190</v>
      </c>
      <c r="Y92" s="154" t="s">
        <v>630</v>
      </c>
      <c r="Z92" s="11" t="s">
        <v>190</v>
      </c>
      <c r="AA92" s="15"/>
      <c r="AB92" s="11" t="s">
        <v>190</v>
      </c>
      <c r="AC92" s="12"/>
      <c r="AD92" s="12"/>
      <c r="AE92" s="156" t="s">
        <v>189</v>
      </c>
      <c r="AF92" s="14" t="s">
        <v>180</v>
      </c>
      <c r="AG92" s="12"/>
      <c r="AH92" s="12"/>
    </row>
    <row r="93" spans="2:34" ht="10.25" customHeight="1" x14ac:dyDescent="0.55000000000000004">
      <c r="B93" s="16" t="s">
        <v>180</v>
      </c>
      <c r="C93" s="10">
        <v>84</v>
      </c>
      <c r="D93" s="11" t="s">
        <v>190</v>
      </c>
      <c r="E93" s="11" t="s">
        <v>190</v>
      </c>
      <c r="F93" s="11" t="s">
        <v>190</v>
      </c>
      <c r="G93" s="11" t="s">
        <v>190</v>
      </c>
      <c r="H93" s="11" t="s">
        <v>190</v>
      </c>
      <c r="I93" s="11" t="s">
        <v>190</v>
      </c>
      <c r="J93" s="11" t="s">
        <v>190</v>
      </c>
      <c r="K93" s="11" t="s">
        <v>190</v>
      </c>
      <c r="L93" s="11" t="s">
        <v>190</v>
      </c>
      <c r="M93" s="11" t="s">
        <v>190</v>
      </c>
      <c r="N93" s="11" t="s">
        <v>190</v>
      </c>
      <c r="O93" s="11" t="s">
        <v>190</v>
      </c>
      <c r="P93" s="11" t="s">
        <v>190</v>
      </c>
      <c r="Q93" s="11" t="s">
        <v>190</v>
      </c>
      <c r="R93" s="11" t="s">
        <v>190</v>
      </c>
      <c r="S93" s="11" t="s">
        <v>190</v>
      </c>
      <c r="T93" s="11" t="s">
        <v>190</v>
      </c>
      <c r="U93" s="11" t="s">
        <v>190</v>
      </c>
      <c r="V93" s="11" t="s">
        <v>190</v>
      </c>
      <c r="W93" s="11" t="s">
        <v>190</v>
      </c>
      <c r="X93" s="11" t="s">
        <v>190</v>
      </c>
      <c r="Y93" s="11" t="s">
        <v>190</v>
      </c>
      <c r="Z93" s="11" t="s">
        <v>190</v>
      </c>
      <c r="AA93" s="16" t="s">
        <v>180</v>
      </c>
      <c r="AB93" s="11" t="s">
        <v>190</v>
      </c>
      <c r="AC93" s="12"/>
      <c r="AD93" s="12" t="s">
        <v>354</v>
      </c>
      <c r="AE93" s="13" t="s">
        <v>360</v>
      </c>
      <c r="AF93" s="14" t="s">
        <v>360</v>
      </c>
      <c r="AG93" s="12"/>
      <c r="AH93" s="12"/>
    </row>
    <row r="94" spans="2:34" ht="10.25" customHeight="1" x14ac:dyDescent="0.55000000000000004">
      <c r="B94" s="16" t="s">
        <v>180</v>
      </c>
      <c r="C94" s="10">
        <v>85</v>
      </c>
      <c r="D94" s="11" t="s">
        <v>190</v>
      </c>
      <c r="E94" s="11" t="s">
        <v>190</v>
      </c>
      <c r="F94" s="11" t="s">
        <v>190</v>
      </c>
      <c r="G94" s="11" t="s">
        <v>190</v>
      </c>
      <c r="H94" s="11" t="s">
        <v>190</v>
      </c>
      <c r="I94" s="11" t="s">
        <v>190</v>
      </c>
      <c r="J94" s="11" t="s">
        <v>190</v>
      </c>
      <c r="K94" s="11" t="s">
        <v>190</v>
      </c>
      <c r="L94" s="11" t="s">
        <v>190</v>
      </c>
      <c r="M94" s="11" t="s">
        <v>190</v>
      </c>
      <c r="N94" s="11" t="s">
        <v>190</v>
      </c>
      <c r="O94" s="11" t="s">
        <v>190</v>
      </c>
      <c r="P94" s="11" t="s">
        <v>190</v>
      </c>
      <c r="Q94" s="11" t="s">
        <v>190</v>
      </c>
      <c r="R94" s="11" t="s">
        <v>190</v>
      </c>
      <c r="S94" s="11" t="s">
        <v>190</v>
      </c>
      <c r="T94" s="11" t="s">
        <v>190</v>
      </c>
      <c r="U94" s="11" t="s">
        <v>190</v>
      </c>
      <c r="V94" s="11" t="s">
        <v>190</v>
      </c>
      <c r="W94" s="11" t="s">
        <v>190</v>
      </c>
      <c r="X94" s="11" t="s">
        <v>190</v>
      </c>
      <c r="Y94" s="11" t="s">
        <v>190</v>
      </c>
      <c r="Z94" s="11" t="s">
        <v>190</v>
      </c>
      <c r="AA94" s="16" t="s">
        <v>180</v>
      </c>
      <c r="AB94" s="11" t="s">
        <v>190</v>
      </c>
      <c r="AC94" s="12"/>
      <c r="AD94" s="12" t="s">
        <v>354</v>
      </c>
      <c r="AE94" s="13" t="s">
        <v>360</v>
      </c>
      <c r="AF94" s="14" t="s">
        <v>360</v>
      </c>
      <c r="AG94" s="12"/>
      <c r="AH94" s="12"/>
    </row>
    <row r="95" spans="2:34" ht="10.25" customHeight="1" x14ac:dyDescent="0.55000000000000004">
      <c r="B95" s="16" t="s">
        <v>181</v>
      </c>
      <c r="C95" s="10">
        <v>86</v>
      </c>
      <c r="D95" s="11" t="s">
        <v>190</v>
      </c>
      <c r="E95" s="11" t="s">
        <v>190</v>
      </c>
      <c r="F95" s="11" t="s">
        <v>190</v>
      </c>
      <c r="G95" s="11" t="s">
        <v>190</v>
      </c>
      <c r="H95" s="11" t="s">
        <v>190</v>
      </c>
      <c r="I95" s="11" t="s">
        <v>190</v>
      </c>
      <c r="J95" s="11" t="s">
        <v>190</v>
      </c>
      <c r="K95" s="11" t="s">
        <v>190</v>
      </c>
      <c r="L95" s="11" t="s">
        <v>190</v>
      </c>
      <c r="M95" s="11" t="s">
        <v>190</v>
      </c>
      <c r="N95" s="11" t="s">
        <v>190</v>
      </c>
      <c r="O95" s="11" t="s">
        <v>190</v>
      </c>
      <c r="P95" s="11" t="s">
        <v>190</v>
      </c>
      <c r="Q95" s="11" t="s">
        <v>190</v>
      </c>
      <c r="R95" s="11" t="s">
        <v>190</v>
      </c>
      <c r="S95" s="11" t="s">
        <v>190</v>
      </c>
      <c r="T95" s="11" t="s">
        <v>190</v>
      </c>
      <c r="U95" s="11" t="s">
        <v>190</v>
      </c>
      <c r="V95" s="11" t="s">
        <v>190</v>
      </c>
      <c r="W95" s="11" t="s">
        <v>190</v>
      </c>
      <c r="X95" s="11" t="s">
        <v>190</v>
      </c>
      <c r="Y95" s="11" t="s">
        <v>190</v>
      </c>
      <c r="Z95" s="11" t="s">
        <v>190</v>
      </c>
      <c r="AA95" s="16" t="s">
        <v>181</v>
      </c>
      <c r="AB95" s="11" t="s">
        <v>190</v>
      </c>
      <c r="AC95" s="12"/>
      <c r="AD95" s="12" t="s">
        <v>356</v>
      </c>
      <c r="AE95" s="13" t="s">
        <v>360</v>
      </c>
      <c r="AF95" s="14" t="s">
        <v>360</v>
      </c>
      <c r="AG95" s="12"/>
      <c r="AH95" s="12"/>
    </row>
    <row r="96" spans="2:34" ht="10.25" customHeight="1" x14ac:dyDescent="0.55000000000000004">
      <c r="B96" s="9" t="s">
        <v>179</v>
      </c>
      <c r="C96" s="10">
        <v>87</v>
      </c>
      <c r="D96" s="11" t="s">
        <v>190</v>
      </c>
      <c r="E96" s="11" t="s">
        <v>190</v>
      </c>
      <c r="F96" s="11" t="s">
        <v>190</v>
      </c>
      <c r="G96" s="11" t="s">
        <v>190</v>
      </c>
      <c r="H96" s="11" t="s">
        <v>190</v>
      </c>
      <c r="I96" s="11" t="s">
        <v>190</v>
      </c>
      <c r="J96" s="11" t="s">
        <v>190</v>
      </c>
      <c r="K96" s="11" t="s">
        <v>190</v>
      </c>
      <c r="L96" s="11" t="s">
        <v>190</v>
      </c>
      <c r="M96" s="11" t="s">
        <v>190</v>
      </c>
      <c r="N96" s="11" t="s">
        <v>190</v>
      </c>
      <c r="O96" s="11" t="s">
        <v>190</v>
      </c>
      <c r="P96" s="11" t="s">
        <v>190</v>
      </c>
      <c r="Q96" s="11" t="s">
        <v>190</v>
      </c>
      <c r="R96" s="11" t="s">
        <v>190</v>
      </c>
      <c r="S96" s="11" t="s">
        <v>190</v>
      </c>
      <c r="T96" s="11" t="s">
        <v>190</v>
      </c>
      <c r="U96" s="11" t="s">
        <v>190</v>
      </c>
      <c r="V96" s="11" t="s">
        <v>190</v>
      </c>
      <c r="W96" s="11" t="s">
        <v>190</v>
      </c>
      <c r="X96" s="11" t="s">
        <v>190</v>
      </c>
      <c r="Y96" s="11" t="s">
        <v>190</v>
      </c>
      <c r="Z96" s="11" t="s">
        <v>190</v>
      </c>
      <c r="AA96" s="9" t="s">
        <v>179</v>
      </c>
      <c r="AB96" s="11" t="s">
        <v>190</v>
      </c>
      <c r="AC96" s="12"/>
      <c r="AD96" s="12" t="s">
        <v>355</v>
      </c>
      <c r="AE96" s="13" t="s">
        <v>360</v>
      </c>
      <c r="AF96" s="14" t="s">
        <v>360</v>
      </c>
      <c r="AG96" s="12"/>
      <c r="AH96" s="12"/>
    </row>
    <row r="97" spans="2:34" ht="10.25" customHeight="1" x14ac:dyDescent="0.55000000000000004">
      <c r="B97" s="20" t="s">
        <v>183</v>
      </c>
      <c r="C97" s="10">
        <v>88</v>
      </c>
      <c r="D97" s="20" t="s">
        <v>183</v>
      </c>
      <c r="E97" s="11" t="s">
        <v>190</v>
      </c>
      <c r="F97" s="11" t="s">
        <v>190</v>
      </c>
      <c r="G97" s="11" t="s">
        <v>190</v>
      </c>
      <c r="H97" s="11" t="s">
        <v>190</v>
      </c>
      <c r="I97" s="11" t="s">
        <v>190</v>
      </c>
      <c r="J97" s="11" t="s">
        <v>190</v>
      </c>
      <c r="K97" s="11" t="s">
        <v>190</v>
      </c>
      <c r="L97" s="11" t="s">
        <v>190</v>
      </c>
      <c r="M97" s="11" t="s">
        <v>190</v>
      </c>
      <c r="N97" s="11" t="s">
        <v>190</v>
      </c>
      <c r="O97" s="11" t="s">
        <v>190</v>
      </c>
      <c r="P97" s="11" t="s">
        <v>190</v>
      </c>
      <c r="Q97" s="11" t="s">
        <v>190</v>
      </c>
      <c r="R97" s="11" t="s">
        <v>190</v>
      </c>
      <c r="S97" s="11" t="s">
        <v>190</v>
      </c>
      <c r="T97" s="11" t="s">
        <v>190</v>
      </c>
      <c r="U97" s="11" t="s">
        <v>190</v>
      </c>
      <c r="V97" s="11" t="s">
        <v>190</v>
      </c>
      <c r="W97" s="11" t="s">
        <v>190</v>
      </c>
      <c r="X97" s="11" t="s">
        <v>190</v>
      </c>
      <c r="Y97" s="11" t="s">
        <v>190</v>
      </c>
      <c r="Z97" s="11" t="s">
        <v>190</v>
      </c>
      <c r="AA97" s="20" t="s">
        <v>183</v>
      </c>
      <c r="AB97" s="11" t="s">
        <v>190</v>
      </c>
      <c r="AC97" s="12"/>
      <c r="AD97" s="12" t="s">
        <v>1032</v>
      </c>
      <c r="AE97" s="13" t="s">
        <v>360</v>
      </c>
      <c r="AF97" s="14" t="s">
        <v>360</v>
      </c>
      <c r="AG97" s="12"/>
      <c r="AH97" s="12"/>
    </row>
    <row r="98" spans="2:34" ht="10.25" customHeight="1" x14ac:dyDescent="0.55000000000000004">
      <c r="B98" s="14" t="s">
        <v>1083</v>
      </c>
      <c r="C98" s="52">
        <v>89</v>
      </c>
      <c r="D98" s="14" t="s">
        <v>28</v>
      </c>
      <c r="E98" s="14" t="s">
        <v>551</v>
      </c>
      <c r="F98" s="14" t="s">
        <v>669</v>
      </c>
      <c r="G98" s="14" t="s">
        <v>670</v>
      </c>
      <c r="H98" s="11" t="s">
        <v>190</v>
      </c>
      <c r="I98" s="11" t="s">
        <v>190</v>
      </c>
      <c r="J98" s="11" t="s">
        <v>190</v>
      </c>
      <c r="K98" s="11" t="s">
        <v>190</v>
      </c>
      <c r="L98" s="11" t="s">
        <v>190</v>
      </c>
      <c r="M98" s="11" t="s">
        <v>190</v>
      </c>
      <c r="N98" s="14" t="s">
        <v>402</v>
      </c>
      <c r="O98" s="14" t="s">
        <v>392</v>
      </c>
      <c r="P98" s="14" t="s">
        <v>968</v>
      </c>
      <c r="Q98" s="11" t="s">
        <v>190</v>
      </c>
      <c r="R98" s="11" t="s">
        <v>190</v>
      </c>
      <c r="S98" s="14" t="s">
        <v>1117</v>
      </c>
      <c r="T98" s="11" t="s">
        <v>190</v>
      </c>
      <c r="U98" s="11" t="s">
        <v>190</v>
      </c>
      <c r="V98" s="11" t="s">
        <v>190</v>
      </c>
      <c r="W98" s="11" t="s">
        <v>190</v>
      </c>
      <c r="X98" s="11" t="s">
        <v>190</v>
      </c>
      <c r="Y98" s="154" t="s">
        <v>191</v>
      </c>
      <c r="Z98" s="11" t="s">
        <v>190</v>
      </c>
      <c r="AA98" s="17"/>
      <c r="AB98" s="11" t="s">
        <v>190</v>
      </c>
      <c r="AC98" s="12" t="s">
        <v>1182</v>
      </c>
      <c r="AD98" s="12"/>
      <c r="AE98" s="13" t="s">
        <v>1042</v>
      </c>
      <c r="AF98" s="14" t="s">
        <v>1036</v>
      </c>
      <c r="AG98" s="12"/>
      <c r="AH98" s="12"/>
    </row>
    <row r="99" spans="2:34" ht="10.25" customHeight="1" x14ac:dyDescent="0.55000000000000004">
      <c r="B99" s="14" t="s">
        <v>29</v>
      </c>
      <c r="C99" s="52">
        <v>90</v>
      </c>
      <c r="D99" s="14" t="s">
        <v>29</v>
      </c>
      <c r="E99" s="14" t="s">
        <v>553</v>
      </c>
      <c r="F99" s="14" t="s">
        <v>552</v>
      </c>
      <c r="G99" s="14" t="s">
        <v>671</v>
      </c>
      <c r="H99" s="11" t="s">
        <v>190</v>
      </c>
      <c r="I99" s="11" t="s">
        <v>190</v>
      </c>
      <c r="J99" s="11" t="s">
        <v>190</v>
      </c>
      <c r="K99" s="11" t="s">
        <v>190</v>
      </c>
      <c r="L99" s="11" t="s">
        <v>190</v>
      </c>
      <c r="M99" s="11" t="s">
        <v>190</v>
      </c>
      <c r="N99" s="14" t="s">
        <v>397</v>
      </c>
      <c r="O99" s="14" t="s">
        <v>396</v>
      </c>
      <c r="P99" s="14" t="s">
        <v>401</v>
      </c>
      <c r="Q99" s="11" t="s">
        <v>190</v>
      </c>
      <c r="R99" s="11" t="s">
        <v>190</v>
      </c>
      <c r="S99" s="14" t="s">
        <v>1118</v>
      </c>
      <c r="T99" s="11" t="s">
        <v>190</v>
      </c>
      <c r="U99" s="11" t="s">
        <v>190</v>
      </c>
      <c r="V99" s="11" t="s">
        <v>190</v>
      </c>
      <c r="W99" s="11" t="s">
        <v>190</v>
      </c>
      <c r="X99" s="11" t="s">
        <v>190</v>
      </c>
      <c r="Y99" s="154" t="s">
        <v>192</v>
      </c>
      <c r="Z99" s="11" t="s">
        <v>190</v>
      </c>
      <c r="AA99" s="17"/>
      <c r="AB99" s="11" t="s">
        <v>190</v>
      </c>
      <c r="AC99" s="12" t="s">
        <v>1182</v>
      </c>
      <c r="AD99" s="12"/>
      <c r="AE99" s="13" t="s">
        <v>1042</v>
      </c>
      <c r="AF99" s="14" t="s">
        <v>1036</v>
      </c>
      <c r="AG99" s="12"/>
      <c r="AH99" s="12"/>
    </row>
    <row r="100" spans="2:34" ht="10.25" customHeight="1" x14ac:dyDescent="0.55000000000000004">
      <c r="B100" s="14" t="s">
        <v>30</v>
      </c>
      <c r="C100" s="52">
        <v>91</v>
      </c>
      <c r="D100" s="14" t="s">
        <v>30</v>
      </c>
      <c r="E100" s="14" t="s">
        <v>555</v>
      </c>
      <c r="F100" s="14" t="s">
        <v>554</v>
      </c>
      <c r="G100" s="14" t="s">
        <v>672</v>
      </c>
      <c r="H100" s="11" t="s">
        <v>190</v>
      </c>
      <c r="I100" s="11" t="s">
        <v>190</v>
      </c>
      <c r="J100" s="11" t="s">
        <v>190</v>
      </c>
      <c r="K100" s="11" t="s">
        <v>190</v>
      </c>
      <c r="L100" s="11" t="s">
        <v>190</v>
      </c>
      <c r="M100" s="11" t="s">
        <v>190</v>
      </c>
      <c r="N100" s="14" t="s">
        <v>393</v>
      </c>
      <c r="O100" s="14" t="s">
        <v>400</v>
      </c>
      <c r="P100" s="11" t="s">
        <v>190</v>
      </c>
      <c r="Q100" s="11" t="s">
        <v>190</v>
      </c>
      <c r="R100" s="11" t="s">
        <v>190</v>
      </c>
      <c r="S100" s="14" t="s">
        <v>1119</v>
      </c>
      <c r="T100" s="11" t="s">
        <v>190</v>
      </c>
      <c r="U100" s="11" t="s">
        <v>190</v>
      </c>
      <c r="V100" s="11" t="s">
        <v>190</v>
      </c>
      <c r="W100" s="11" t="s">
        <v>190</v>
      </c>
      <c r="X100" s="11" t="s">
        <v>190</v>
      </c>
      <c r="Y100" s="154" t="s">
        <v>193</v>
      </c>
      <c r="Z100" s="11" t="s">
        <v>190</v>
      </c>
      <c r="AA100" s="17"/>
      <c r="AB100" s="11" t="s">
        <v>190</v>
      </c>
      <c r="AC100" s="12" t="s">
        <v>1182</v>
      </c>
      <c r="AD100" s="12"/>
      <c r="AE100" s="13" t="s">
        <v>1042</v>
      </c>
      <c r="AF100" s="14" t="s">
        <v>1036</v>
      </c>
      <c r="AG100" s="12"/>
      <c r="AH100" s="12"/>
    </row>
    <row r="101" spans="2:34" ht="10.25" customHeight="1" x14ac:dyDescent="0.55000000000000004">
      <c r="B101" s="14" t="s">
        <v>32</v>
      </c>
      <c r="C101" s="52">
        <v>92</v>
      </c>
      <c r="D101" s="14" t="s">
        <v>32</v>
      </c>
      <c r="E101" s="14" t="s">
        <v>557</v>
      </c>
      <c r="F101" s="14" t="s">
        <v>556</v>
      </c>
      <c r="G101" s="14" t="s">
        <v>673</v>
      </c>
      <c r="H101" s="11" t="s">
        <v>190</v>
      </c>
      <c r="I101" s="11" t="s">
        <v>190</v>
      </c>
      <c r="J101" s="11" t="s">
        <v>190</v>
      </c>
      <c r="K101" s="11" t="s">
        <v>190</v>
      </c>
      <c r="L101" s="11" t="s">
        <v>190</v>
      </c>
      <c r="M101" s="11" t="s">
        <v>190</v>
      </c>
      <c r="N101" s="14" t="s">
        <v>406</v>
      </c>
      <c r="O101" s="14" t="s">
        <v>405</v>
      </c>
      <c r="P101" s="11" t="s">
        <v>190</v>
      </c>
      <c r="Q101" s="11" t="s">
        <v>190</v>
      </c>
      <c r="R101" s="11" t="s">
        <v>190</v>
      </c>
      <c r="S101" s="14" t="s">
        <v>1120</v>
      </c>
      <c r="T101" s="11" t="s">
        <v>190</v>
      </c>
      <c r="U101" s="11" t="s">
        <v>190</v>
      </c>
      <c r="V101" s="11" t="s">
        <v>190</v>
      </c>
      <c r="W101" s="11" t="s">
        <v>190</v>
      </c>
      <c r="X101" s="11" t="s">
        <v>190</v>
      </c>
      <c r="Y101" s="154" t="s">
        <v>194</v>
      </c>
      <c r="Z101" s="11" t="s">
        <v>190</v>
      </c>
      <c r="AA101" s="17"/>
      <c r="AB101" s="11" t="s">
        <v>190</v>
      </c>
      <c r="AC101" s="12" t="s">
        <v>1182</v>
      </c>
      <c r="AD101" s="12"/>
      <c r="AE101" s="13" t="s">
        <v>1042</v>
      </c>
      <c r="AF101" s="14" t="s">
        <v>1036</v>
      </c>
      <c r="AG101" s="12"/>
      <c r="AH101" s="12"/>
    </row>
    <row r="102" spans="2:34" ht="10.25" customHeight="1" x14ac:dyDescent="0.55000000000000004">
      <c r="B102" s="14" t="s">
        <v>1084</v>
      </c>
      <c r="C102" s="52">
        <v>93</v>
      </c>
      <c r="D102" s="14" t="s">
        <v>34</v>
      </c>
      <c r="E102" s="14" t="s">
        <v>682</v>
      </c>
      <c r="F102" s="14" t="s">
        <v>421</v>
      </c>
      <c r="G102" s="14" t="s">
        <v>683</v>
      </c>
      <c r="H102" s="11" t="s">
        <v>190</v>
      </c>
      <c r="I102" s="11" t="s">
        <v>190</v>
      </c>
      <c r="J102" s="11" t="s">
        <v>190</v>
      </c>
      <c r="K102" s="11" t="s">
        <v>190</v>
      </c>
      <c r="L102" s="11" t="s">
        <v>190</v>
      </c>
      <c r="M102" s="11" t="s">
        <v>190</v>
      </c>
      <c r="N102" s="14" t="s">
        <v>684</v>
      </c>
      <c r="O102" s="14" t="s">
        <v>685</v>
      </c>
      <c r="P102" s="14" t="s">
        <v>969</v>
      </c>
      <c r="Q102" s="11" t="s">
        <v>190</v>
      </c>
      <c r="R102" s="11" t="s">
        <v>190</v>
      </c>
      <c r="S102" s="11" t="s">
        <v>190</v>
      </c>
      <c r="T102" s="11" t="s">
        <v>190</v>
      </c>
      <c r="U102" s="11" t="s">
        <v>190</v>
      </c>
      <c r="V102" s="11" t="s">
        <v>190</v>
      </c>
      <c r="W102" s="11" t="s">
        <v>190</v>
      </c>
      <c r="X102" s="11" t="s">
        <v>190</v>
      </c>
      <c r="Y102" s="150" t="s">
        <v>195</v>
      </c>
      <c r="Z102" s="11" t="s">
        <v>190</v>
      </c>
      <c r="AA102" s="17"/>
      <c r="AB102" s="11" t="s">
        <v>190</v>
      </c>
      <c r="AC102" s="12" t="s">
        <v>1182</v>
      </c>
      <c r="AD102" s="12"/>
      <c r="AE102" s="13" t="s">
        <v>1042</v>
      </c>
      <c r="AF102" s="14" t="s">
        <v>1036</v>
      </c>
      <c r="AG102" s="12"/>
      <c r="AH102" s="12"/>
    </row>
    <row r="103" spans="2:34" ht="10.25" customHeight="1" x14ac:dyDescent="0.55000000000000004">
      <c r="B103" s="14" t="s">
        <v>38</v>
      </c>
      <c r="C103" s="52">
        <v>94</v>
      </c>
      <c r="D103" s="14" t="s">
        <v>38</v>
      </c>
      <c r="E103" s="14" t="s">
        <v>686</v>
      </c>
      <c r="F103" s="14" t="s">
        <v>687</v>
      </c>
      <c r="G103" s="14" t="s">
        <v>688</v>
      </c>
      <c r="H103" s="11" t="s">
        <v>190</v>
      </c>
      <c r="I103" s="11" t="s">
        <v>190</v>
      </c>
      <c r="J103" s="11" t="s">
        <v>190</v>
      </c>
      <c r="K103" s="11" t="s">
        <v>190</v>
      </c>
      <c r="L103" s="11" t="s">
        <v>190</v>
      </c>
      <c r="M103" s="11" t="s">
        <v>190</v>
      </c>
      <c r="N103" s="14" t="s">
        <v>689</v>
      </c>
      <c r="O103" s="14" t="s">
        <v>690</v>
      </c>
      <c r="P103" s="14" t="s">
        <v>970</v>
      </c>
      <c r="Q103" s="11" t="s">
        <v>190</v>
      </c>
      <c r="R103" s="11" t="s">
        <v>190</v>
      </c>
      <c r="S103" s="11" t="s">
        <v>190</v>
      </c>
      <c r="T103" s="11" t="s">
        <v>190</v>
      </c>
      <c r="U103" s="11" t="s">
        <v>190</v>
      </c>
      <c r="V103" s="11" t="s">
        <v>190</v>
      </c>
      <c r="W103" s="11" t="s">
        <v>190</v>
      </c>
      <c r="X103" s="11" t="s">
        <v>190</v>
      </c>
      <c r="Y103" s="150" t="s">
        <v>196</v>
      </c>
      <c r="Z103" s="11" t="s">
        <v>190</v>
      </c>
      <c r="AA103" s="17"/>
      <c r="AB103" s="11" t="s">
        <v>190</v>
      </c>
      <c r="AC103" s="12" t="s">
        <v>1182</v>
      </c>
      <c r="AD103" s="12"/>
      <c r="AE103" s="13" t="s">
        <v>1042</v>
      </c>
      <c r="AF103" s="14" t="s">
        <v>1036</v>
      </c>
      <c r="AG103" s="12"/>
      <c r="AH103" s="12"/>
    </row>
    <row r="104" spans="2:34" ht="10.25" customHeight="1" x14ac:dyDescent="0.55000000000000004">
      <c r="B104" s="14" t="s">
        <v>42</v>
      </c>
      <c r="C104" s="52">
        <v>95</v>
      </c>
      <c r="D104" s="14" t="s">
        <v>42</v>
      </c>
      <c r="E104" s="14" t="s">
        <v>691</v>
      </c>
      <c r="F104" s="14" t="s">
        <v>692</v>
      </c>
      <c r="G104" s="14" t="s">
        <v>693</v>
      </c>
      <c r="H104" s="11" t="s">
        <v>190</v>
      </c>
      <c r="I104" s="150" t="s">
        <v>39</v>
      </c>
      <c r="J104" s="151" t="s">
        <v>468</v>
      </c>
      <c r="K104" s="157" t="s">
        <v>36</v>
      </c>
      <c r="L104" s="11" t="s">
        <v>190</v>
      </c>
      <c r="M104" s="11" t="s">
        <v>190</v>
      </c>
      <c r="N104" s="14" t="s">
        <v>694</v>
      </c>
      <c r="O104" s="14" t="s">
        <v>695</v>
      </c>
      <c r="P104" s="11" t="s">
        <v>190</v>
      </c>
      <c r="Q104" s="14" t="s">
        <v>54</v>
      </c>
      <c r="R104" s="11" t="s">
        <v>190</v>
      </c>
      <c r="S104" s="11" t="s">
        <v>190</v>
      </c>
      <c r="T104" s="11" t="s">
        <v>190</v>
      </c>
      <c r="U104" s="11" t="s">
        <v>190</v>
      </c>
      <c r="V104" s="11" t="s">
        <v>190</v>
      </c>
      <c r="W104" s="11" t="s">
        <v>190</v>
      </c>
      <c r="X104" s="11" t="s">
        <v>190</v>
      </c>
      <c r="Y104" s="150" t="s">
        <v>197</v>
      </c>
      <c r="Z104" s="11" t="s">
        <v>190</v>
      </c>
      <c r="AA104" s="15"/>
      <c r="AB104" s="11" t="s">
        <v>190</v>
      </c>
      <c r="AC104" s="12" t="s">
        <v>1182</v>
      </c>
      <c r="AD104" s="12"/>
      <c r="AE104" s="13" t="s">
        <v>1042</v>
      </c>
      <c r="AF104" s="14" t="s">
        <v>1036</v>
      </c>
      <c r="AG104" s="12"/>
      <c r="AH104" s="12"/>
    </row>
    <row r="105" spans="2:34" ht="10.25" customHeight="1" x14ac:dyDescent="0.55000000000000004">
      <c r="B105" s="14" t="s">
        <v>45</v>
      </c>
      <c r="C105" s="52">
        <v>96</v>
      </c>
      <c r="D105" s="14" t="s">
        <v>45</v>
      </c>
      <c r="E105" s="14" t="s">
        <v>696</v>
      </c>
      <c r="F105" s="14" t="s">
        <v>697</v>
      </c>
      <c r="G105" s="14" t="s">
        <v>698</v>
      </c>
      <c r="H105" s="11" t="s">
        <v>190</v>
      </c>
      <c r="I105" s="150" t="s">
        <v>35</v>
      </c>
      <c r="J105" s="151" t="s">
        <v>465</v>
      </c>
      <c r="K105" s="157" t="s">
        <v>40</v>
      </c>
      <c r="L105" s="11" t="s">
        <v>190</v>
      </c>
      <c r="M105" s="11" t="s">
        <v>190</v>
      </c>
      <c r="N105" s="14" t="s">
        <v>699</v>
      </c>
      <c r="O105" s="14" t="s">
        <v>700</v>
      </c>
      <c r="P105" s="11" t="s">
        <v>190</v>
      </c>
      <c r="Q105" s="14" t="s">
        <v>33</v>
      </c>
      <c r="R105" s="11" t="s">
        <v>190</v>
      </c>
      <c r="S105" s="11" t="s">
        <v>190</v>
      </c>
      <c r="T105" s="11" t="s">
        <v>190</v>
      </c>
      <c r="U105" s="11" t="s">
        <v>190</v>
      </c>
      <c r="V105" s="11" t="s">
        <v>190</v>
      </c>
      <c r="W105" s="11" t="s">
        <v>190</v>
      </c>
      <c r="X105" s="11" t="s">
        <v>190</v>
      </c>
      <c r="Y105" s="150" t="s">
        <v>1114</v>
      </c>
      <c r="Z105" s="14" t="s">
        <v>1115</v>
      </c>
      <c r="AA105" s="15"/>
      <c r="AB105" s="11" t="s">
        <v>190</v>
      </c>
      <c r="AC105" s="12" t="s">
        <v>1182</v>
      </c>
      <c r="AD105" s="12"/>
      <c r="AE105" s="13" t="s">
        <v>1042</v>
      </c>
      <c r="AF105" s="14" t="s">
        <v>1036</v>
      </c>
      <c r="AG105" s="12"/>
      <c r="AH105" s="12"/>
    </row>
    <row r="106" spans="2:34" ht="10.25" customHeight="1" x14ac:dyDescent="0.55000000000000004">
      <c r="B106" s="14" t="s">
        <v>47</v>
      </c>
      <c r="C106" s="52">
        <v>97</v>
      </c>
      <c r="D106" s="14" t="s">
        <v>47</v>
      </c>
      <c r="E106" s="14" t="s">
        <v>701</v>
      </c>
      <c r="F106" s="14" t="s">
        <v>702</v>
      </c>
      <c r="G106" s="14" t="s">
        <v>703</v>
      </c>
      <c r="H106" s="11" t="s">
        <v>190</v>
      </c>
      <c r="I106" s="150" t="s">
        <v>43</v>
      </c>
      <c r="J106" s="151" t="s">
        <v>471</v>
      </c>
      <c r="K106" s="157" t="s">
        <v>25</v>
      </c>
      <c r="L106" s="11" t="s">
        <v>190</v>
      </c>
      <c r="M106" s="11" t="s">
        <v>190</v>
      </c>
      <c r="N106" s="14" t="s">
        <v>704</v>
      </c>
      <c r="O106" s="11" t="s">
        <v>190</v>
      </c>
      <c r="P106" s="11" t="s">
        <v>190</v>
      </c>
      <c r="Q106" s="14" t="s">
        <v>37</v>
      </c>
      <c r="R106" s="11" t="s">
        <v>190</v>
      </c>
      <c r="S106" s="11" t="s">
        <v>190</v>
      </c>
      <c r="T106" s="11" t="s">
        <v>190</v>
      </c>
      <c r="U106" s="11" t="s">
        <v>190</v>
      </c>
      <c r="V106" s="11" t="s">
        <v>190</v>
      </c>
      <c r="W106" s="11" t="s">
        <v>190</v>
      </c>
      <c r="X106" s="11" t="s">
        <v>190</v>
      </c>
      <c r="Y106" s="150" t="s">
        <v>198</v>
      </c>
      <c r="Z106" s="11" t="s">
        <v>190</v>
      </c>
      <c r="AA106" s="15"/>
      <c r="AB106" s="11" t="s">
        <v>190</v>
      </c>
      <c r="AC106" s="12" t="s">
        <v>1182</v>
      </c>
      <c r="AD106" s="12"/>
      <c r="AE106" s="13" t="s">
        <v>1042</v>
      </c>
      <c r="AF106" s="14" t="s">
        <v>1036</v>
      </c>
      <c r="AG106" s="12"/>
      <c r="AH106" s="12"/>
    </row>
    <row r="107" spans="2:34" ht="10.25" customHeight="1" x14ac:dyDescent="0.55000000000000004">
      <c r="B107" s="14" t="s">
        <v>49</v>
      </c>
      <c r="C107" s="52">
        <v>98</v>
      </c>
      <c r="D107" s="14" t="s">
        <v>49</v>
      </c>
      <c r="E107" s="14" t="s">
        <v>705</v>
      </c>
      <c r="F107" s="14" t="s">
        <v>706</v>
      </c>
      <c r="G107" s="14" t="s">
        <v>707</v>
      </c>
      <c r="H107" s="11" t="s">
        <v>190</v>
      </c>
      <c r="I107" s="11" t="s">
        <v>190</v>
      </c>
      <c r="J107" s="11" t="s">
        <v>190</v>
      </c>
      <c r="K107" s="157" t="s">
        <v>27</v>
      </c>
      <c r="L107" s="11" t="s">
        <v>190</v>
      </c>
      <c r="M107" s="11" t="s">
        <v>190</v>
      </c>
      <c r="N107" s="11" t="s">
        <v>190</v>
      </c>
      <c r="O107" s="11" t="s">
        <v>190</v>
      </c>
      <c r="P107" s="11" t="s">
        <v>190</v>
      </c>
      <c r="Q107" s="14" t="s">
        <v>52</v>
      </c>
      <c r="R107" s="11" t="s">
        <v>190</v>
      </c>
      <c r="S107" s="14" t="s">
        <v>81</v>
      </c>
      <c r="T107" s="11" t="s">
        <v>190</v>
      </c>
      <c r="U107" s="11" t="s">
        <v>190</v>
      </c>
      <c r="V107" s="11" t="s">
        <v>190</v>
      </c>
      <c r="W107" s="11" t="s">
        <v>190</v>
      </c>
      <c r="X107" s="14" t="s">
        <v>238</v>
      </c>
      <c r="Y107" s="11" t="s">
        <v>190</v>
      </c>
      <c r="Z107" s="150" t="s">
        <v>358</v>
      </c>
      <c r="AA107" s="15"/>
      <c r="AB107" s="11" t="s">
        <v>190</v>
      </c>
      <c r="AC107" s="12" t="s">
        <v>1182</v>
      </c>
      <c r="AD107" s="12"/>
      <c r="AE107" s="13" t="s">
        <v>1042</v>
      </c>
      <c r="AF107" s="14" t="s">
        <v>1036</v>
      </c>
      <c r="AG107" s="12"/>
      <c r="AH107" s="12"/>
    </row>
    <row r="108" spans="2:34" ht="10.25" customHeight="1" x14ac:dyDescent="0.55000000000000004">
      <c r="B108" s="14" t="s">
        <v>708</v>
      </c>
      <c r="C108" s="52">
        <v>99</v>
      </c>
      <c r="D108" s="14" t="s">
        <v>708</v>
      </c>
      <c r="E108" s="14" t="s">
        <v>709</v>
      </c>
      <c r="F108" s="14" t="s">
        <v>710</v>
      </c>
      <c r="G108" s="14" t="s">
        <v>711</v>
      </c>
      <c r="H108" s="11" t="s">
        <v>190</v>
      </c>
      <c r="I108" s="150" t="s">
        <v>20</v>
      </c>
      <c r="J108" s="151" t="s">
        <v>521</v>
      </c>
      <c r="K108" s="11" t="s">
        <v>190</v>
      </c>
      <c r="L108" s="11" t="s">
        <v>190</v>
      </c>
      <c r="M108" s="11" t="s">
        <v>190</v>
      </c>
      <c r="N108" s="11" t="s">
        <v>190</v>
      </c>
      <c r="O108" s="11" t="s">
        <v>190</v>
      </c>
      <c r="P108" s="11" t="s">
        <v>190</v>
      </c>
      <c r="Q108" s="14" t="s">
        <v>31</v>
      </c>
      <c r="R108" s="11" t="s">
        <v>190</v>
      </c>
      <c r="S108" s="11" t="s">
        <v>190</v>
      </c>
      <c r="T108" s="11" t="s">
        <v>190</v>
      </c>
      <c r="U108" s="11" t="s">
        <v>190</v>
      </c>
      <c r="V108" s="11" t="s">
        <v>190</v>
      </c>
      <c r="W108" s="11" t="s">
        <v>190</v>
      </c>
      <c r="X108" s="14" t="s">
        <v>239</v>
      </c>
      <c r="Y108" s="11" t="s">
        <v>190</v>
      </c>
      <c r="Z108" s="150" t="s">
        <v>966</v>
      </c>
      <c r="AA108" s="15"/>
      <c r="AB108" s="11" t="s">
        <v>190</v>
      </c>
      <c r="AC108" s="12"/>
      <c r="AD108" s="12"/>
      <c r="AE108" s="13" t="s">
        <v>1042</v>
      </c>
      <c r="AF108" s="14" t="s">
        <v>1036</v>
      </c>
      <c r="AG108" s="12"/>
      <c r="AH108" s="12"/>
    </row>
    <row r="109" spans="2:34" ht="10.25" customHeight="1" x14ac:dyDescent="0.55000000000000004">
      <c r="B109" s="14" t="s">
        <v>712</v>
      </c>
      <c r="C109" s="52">
        <v>100</v>
      </c>
      <c r="D109" s="14" t="s">
        <v>712</v>
      </c>
      <c r="E109" s="14" t="s">
        <v>713</v>
      </c>
      <c r="F109" s="14" t="s">
        <v>714</v>
      </c>
      <c r="G109" s="14" t="s">
        <v>715</v>
      </c>
      <c r="H109" s="14" t="s">
        <v>1050</v>
      </c>
      <c r="I109" s="150" t="s">
        <v>22</v>
      </c>
      <c r="J109" s="151" t="s">
        <v>526</v>
      </c>
      <c r="K109" s="11" t="s">
        <v>190</v>
      </c>
      <c r="L109" s="11" t="s">
        <v>190</v>
      </c>
      <c r="M109" s="11" t="s">
        <v>190</v>
      </c>
      <c r="N109" s="11" t="s">
        <v>190</v>
      </c>
      <c r="O109" s="11" t="s">
        <v>190</v>
      </c>
      <c r="P109" s="11" t="s">
        <v>190</v>
      </c>
      <c r="Q109" s="14" t="s">
        <v>41</v>
      </c>
      <c r="R109" s="11" t="s">
        <v>190</v>
      </c>
      <c r="S109" s="11" t="s">
        <v>190</v>
      </c>
      <c r="T109" s="11" t="s">
        <v>190</v>
      </c>
      <c r="U109" s="11" t="s">
        <v>190</v>
      </c>
      <c r="V109" s="11" t="s">
        <v>190</v>
      </c>
      <c r="W109" s="11" t="s">
        <v>190</v>
      </c>
      <c r="X109" s="14" t="s">
        <v>240</v>
      </c>
      <c r="Y109" s="150" t="s">
        <v>199</v>
      </c>
      <c r="Z109" s="11" t="s">
        <v>190</v>
      </c>
      <c r="AA109" s="15"/>
      <c r="AB109" s="11" t="s">
        <v>190</v>
      </c>
      <c r="AC109" s="12"/>
      <c r="AD109" s="12"/>
      <c r="AE109" s="13" t="s">
        <v>1042</v>
      </c>
      <c r="AF109" s="14" t="s">
        <v>1036</v>
      </c>
      <c r="AG109" s="12"/>
      <c r="AH109" s="12"/>
    </row>
    <row r="110" spans="2:34" ht="10.25" customHeight="1" x14ac:dyDescent="0.55000000000000004">
      <c r="B110" s="14" t="s">
        <v>1085</v>
      </c>
      <c r="C110" s="52">
        <v>101</v>
      </c>
      <c r="D110" s="14" t="s">
        <v>51</v>
      </c>
      <c r="E110" s="14" t="s">
        <v>487</v>
      </c>
      <c r="F110" s="14" t="s">
        <v>517</v>
      </c>
      <c r="G110" s="14" t="s">
        <v>716</v>
      </c>
      <c r="H110" s="14" t="s">
        <v>1088</v>
      </c>
      <c r="I110" s="150" t="s">
        <v>24</v>
      </c>
      <c r="J110" s="151" t="s">
        <v>531</v>
      </c>
      <c r="K110" s="11" t="s">
        <v>190</v>
      </c>
      <c r="L110" s="11" t="s">
        <v>190</v>
      </c>
      <c r="M110" s="11" t="s">
        <v>190</v>
      </c>
      <c r="N110" s="14" t="s">
        <v>717</v>
      </c>
      <c r="O110" s="14" t="s">
        <v>718</v>
      </c>
      <c r="P110" s="14" t="s">
        <v>971</v>
      </c>
      <c r="Q110" s="11" t="s">
        <v>190</v>
      </c>
      <c r="R110" s="11" t="s">
        <v>190</v>
      </c>
      <c r="S110" s="11" t="s">
        <v>190</v>
      </c>
      <c r="T110" s="11" t="s">
        <v>190</v>
      </c>
      <c r="U110" s="11" t="s">
        <v>190</v>
      </c>
      <c r="V110" s="11" t="s">
        <v>190</v>
      </c>
      <c r="W110" s="11" t="s">
        <v>190</v>
      </c>
      <c r="X110" s="14" t="s">
        <v>241</v>
      </c>
      <c r="Y110" s="150" t="s">
        <v>200</v>
      </c>
      <c r="Z110" s="11" t="s">
        <v>190</v>
      </c>
      <c r="AA110" s="15"/>
      <c r="AB110" s="11" t="s">
        <v>190</v>
      </c>
      <c r="AC110" s="12" t="s">
        <v>1182</v>
      </c>
      <c r="AD110" s="12"/>
      <c r="AE110" s="13" t="s">
        <v>1042</v>
      </c>
      <c r="AF110" s="14" t="s">
        <v>1036</v>
      </c>
      <c r="AG110" s="12"/>
      <c r="AH110" s="12"/>
    </row>
    <row r="111" spans="2:34" ht="10.25" customHeight="1" x14ac:dyDescent="0.55000000000000004">
      <c r="B111" s="14" t="s">
        <v>53</v>
      </c>
      <c r="C111" s="52">
        <v>102</v>
      </c>
      <c r="D111" s="14" t="s">
        <v>53</v>
      </c>
      <c r="E111" s="14" t="s">
        <v>489</v>
      </c>
      <c r="F111" s="14" t="s">
        <v>490</v>
      </c>
      <c r="G111" s="14" t="s">
        <v>719</v>
      </c>
      <c r="H111" s="14" t="s">
        <v>65</v>
      </c>
      <c r="I111" s="11" t="s">
        <v>190</v>
      </c>
      <c r="J111" s="11" t="s">
        <v>190</v>
      </c>
      <c r="K111" s="11" t="s">
        <v>190</v>
      </c>
      <c r="L111" s="11" t="s">
        <v>190</v>
      </c>
      <c r="M111" s="11" t="s">
        <v>190</v>
      </c>
      <c r="N111" s="14" t="s">
        <v>720</v>
      </c>
      <c r="O111" s="14" t="s">
        <v>721</v>
      </c>
      <c r="P111" s="14" t="s">
        <v>972</v>
      </c>
      <c r="Q111" s="11" t="s">
        <v>190</v>
      </c>
      <c r="R111" s="11" t="s">
        <v>190</v>
      </c>
      <c r="S111" s="11" t="s">
        <v>190</v>
      </c>
      <c r="T111" s="11" t="s">
        <v>190</v>
      </c>
      <c r="U111" s="11" t="s">
        <v>190</v>
      </c>
      <c r="V111" s="11" t="s">
        <v>190</v>
      </c>
      <c r="W111" s="11" t="s">
        <v>190</v>
      </c>
      <c r="X111" s="14" t="s">
        <v>242</v>
      </c>
      <c r="Y111" s="150" t="s">
        <v>201</v>
      </c>
      <c r="Z111" s="11" t="s">
        <v>190</v>
      </c>
      <c r="AA111" s="15"/>
      <c r="AB111" s="11" t="s">
        <v>190</v>
      </c>
      <c r="AC111" s="12" t="s">
        <v>1182</v>
      </c>
      <c r="AD111" s="12"/>
      <c r="AE111" s="13" t="s">
        <v>1042</v>
      </c>
      <c r="AF111" s="14" t="s">
        <v>1036</v>
      </c>
      <c r="AG111" s="12"/>
      <c r="AH111" s="12"/>
    </row>
    <row r="112" spans="2:34" ht="10.25" customHeight="1" x14ac:dyDescent="0.55000000000000004">
      <c r="B112" s="14" t="s">
        <v>55</v>
      </c>
      <c r="C112" s="52">
        <v>103</v>
      </c>
      <c r="D112" s="14" t="s">
        <v>55</v>
      </c>
      <c r="E112" s="14" t="s">
        <v>491</v>
      </c>
      <c r="F112" s="14" t="s">
        <v>492</v>
      </c>
      <c r="G112" s="14" t="s">
        <v>722</v>
      </c>
      <c r="H112" s="14" t="s">
        <v>68</v>
      </c>
      <c r="I112" s="11" t="s">
        <v>190</v>
      </c>
      <c r="J112" s="11" t="s">
        <v>190</v>
      </c>
      <c r="K112" s="11" t="s">
        <v>190</v>
      </c>
      <c r="L112" s="11" t="s">
        <v>190</v>
      </c>
      <c r="M112" s="11" t="s">
        <v>190</v>
      </c>
      <c r="N112" s="14" t="s">
        <v>723</v>
      </c>
      <c r="O112" s="14" t="s">
        <v>724</v>
      </c>
      <c r="P112" s="11" t="s">
        <v>190</v>
      </c>
      <c r="Q112" s="14" t="s">
        <v>44</v>
      </c>
      <c r="R112" s="11" t="s">
        <v>190</v>
      </c>
      <c r="S112" s="11" t="s">
        <v>190</v>
      </c>
      <c r="T112" s="11" t="s">
        <v>190</v>
      </c>
      <c r="U112" s="11" t="s">
        <v>190</v>
      </c>
      <c r="V112" s="11" t="s">
        <v>190</v>
      </c>
      <c r="W112" s="11" t="s">
        <v>190</v>
      </c>
      <c r="X112" s="14" t="s">
        <v>893</v>
      </c>
      <c r="Y112" s="150" t="s">
        <v>202</v>
      </c>
      <c r="Z112" s="11" t="s">
        <v>190</v>
      </c>
      <c r="AA112" s="15"/>
      <c r="AB112" s="11" t="s">
        <v>190</v>
      </c>
      <c r="AC112" s="12" t="s">
        <v>1182</v>
      </c>
      <c r="AD112" s="12"/>
      <c r="AE112" s="13" t="s">
        <v>1042</v>
      </c>
      <c r="AF112" s="14" t="s">
        <v>1036</v>
      </c>
      <c r="AG112" s="12"/>
      <c r="AH112" s="12"/>
    </row>
    <row r="113" spans="2:34" ht="10.25" customHeight="1" x14ac:dyDescent="0.55000000000000004">
      <c r="B113" s="14" t="s">
        <v>56</v>
      </c>
      <c r="C113" s="52">
        <v>104</v>
      </c>
      <c r="D113" s="14" t="s">
        <v>56</v>
      </c>
      <c r="E113" s="14" t="s">
        <v>493</v>
      </c>
      <c r="F113" s="14" t="s">
        <v>494</v>
      </c>
      <c r="G113" s="14" t="s">
        <v>725</v>
      </c>
      <c r="H113" s="11" t="s">
        <v>190</v>
      </c>
      <c r="I113" s="11" t="s">
        <v>190</v>
      </c>
      <c r="J113" s="11" t="s">
        <v>190</v>
      </c>
      <c r="K113" s="11" t="s">
        <v>190</v>
      </c>
      <c r="L113" s="11" t="s">
        <v>190</v>
      </c>
      <c r="M113" s="11" t="s">
        <v>190</v>
      </c>
      <c r="N113" s="14" t="s">
        <v>726</v>
      </c>
      <c r="O113" s="14" t="s">
        <v>727</v>
      </c>
      <c r="P113" s="11" t="s">
        <v>190</v>
      </c>
      <c r="Q113" s="14" t="s">
        <v>46</v>
      </c>
      <c r="R113" s="11" t="s">
        <v>190</v>
      </c>
      <c r="S113" s="11" t="s">
        <v>190</v>
      </c>
      <c r="T113" s="11" t="s">
        <v>190</v>
      </c>
      <c r="U113" s="11" t="s">
        <v>190</v>
      </c>
      <c r="V113" s="11" t="s">
        <v>190</v>
      </c>
      <c r="W113" s="11" t="s">
        <v>190</v>
      </c>
      <c r="X113" s="11" t="s">
        <v>190</v>
      </c>
      <c r="Y113" s="150" t="s">
        <v>203</v>
      </c>
      <c r="Z113" s="11" t="s">
        <v>190</v>
      </c>
      <c r="AA113" s="15"/>
      <c r="AB113" s="11" t="s">
        <v>190</v>
      </c>
      <c r="AC113" s="12" t="s">
        <v>1182</v>
      </c>
      <c r="AD113" s="12"/>
      <c r="AE113" s="13" t="s">
        <v>1042</v>
      </c>
      <c r="AF113" s="14" t="s">
        <v>1036</v>
      </c>
      <c r="AG113" s="12"/>
      <c r="AH113" s="12"/>
    </row>
    <row r="114" spans="2:34" ht="10.25" customHeight="1" x14ac:dyDescent="0.55000000000000004">
      <c r="B114" s="18" t="s">
        <v>182</v>
      </c>
      <c r="C114" s="10">
        <v>105</v>
      </c>
      <c r="D114" s="11" t="s">
        <v>190</v>
      </c>
      <c r="E114" s="11" t="s">
        <v>190</v>
      </c>
      <c r="F114" s="11" t="s">
        <v>190</v>
      </c>
      <c r="G114" s="11" t="s">
        <v>190</v>
      </c>
      <c r="H114" s="11" t="s">
        <v>190</v>
      </c>
      <c r="I114" s="11" t="s">
        <v>190</v>
      </c>
      <c r="J114" s="11" t="s">
        <v>190</v>
      </c>
      <c r="K114" s="11" t="s">
        <v>190</v>
      </c>
      <c r="L114" s="11" t="s">
        <v>190</v>
      </c>
      <c r="M114" s="11" t="s">
        <v>190</v>
      </c>
      <c r="N114" s="11" t="s">
        <v>190</v>
      </c>
      <c r="O114" s="11" t="s">
        <v>190</v>
      </c>
      <c r="P114" s="11" t="s">
        <v>190</v>
      </c>
      <c r="Q114" s="11" t="s">
        <v>190</v>
      </c>
      <c r="R114" s="11" t="s">
        <v>190</v>
      </c>
      <c r="S114" s="11" t="s">
        <v>190</v>
      </c>
      <c r="T114" s="11" t="s">
        <v>190</v>
      </c>
      <c r="U114" s="11" t="s">
        <v>190</v>
      </c>
      <c r="V114" s="11" t="s">
        <v>190</v>
      </c>
      <c r="W114" s="11" t="s">
        <v>190</v>
      </c>
      <c r="X114" s="11" t="s">
        <v>190</v>
      </c>
      <c r="Y114" s="11" t="s">
        <v>190</v>
      </c>
      <c r="Z114" s="11" t="s">
        <v>190</v>
      </c>
      <c r="AA114" s="18" t="s">
        <v>182</v>
      </c>
      <c r="AB114" s="11" t="s">
        <v>190</v>
      </c>
      <c r="AC114" s="12"/>
      <c r="AD114" s="12" t="s">
        <v>1033</v>
      </c>
      <c r="AE114" s="13" t="s">
        <v>360</v>
      </c>
      <c r="AF114" s="14" t="s">
        <v>360</v>
      </c>
      <c r="AG114" s="12"/>
      <c r="AH114" s="12"/>
    </row>
    <row r="115" spans="2:34" ht="10.25" customHeight="1" x14ac:dyDescent="0.55000000000000004">
      <c r="B115" s="16" t="s">
        <v>991</v>
      </c>
      <c r="C115" s="10">
        <v>106</v>
      </c>
      <c r="D115" s="11" t="s">
        <v>190</v>
      </c>
      <c r="E115" s="11" t="s">
        <v>190</v>
      </c>
      <c r="F115" s="11" t="s">
        <v>190</v>
      </c>
      <c r="G115" s="11" t="s">
        <v>190</v>
      </c>
      <c r="H115" s="11" t="s">
        <v>190</v>
      </c>
      <c r="I115" s="11" t="s">
        <v>190</v>
      </c>
      <c r="J115" s="11" t="s">
        <v>190</v>
      </c>
      <c r="K115" s="11" t="s">
        <v>190</v>
      </c>
      <c r="L115" s="11" t="s">
        <v>190</v>
      </c>
      <c r="M115" s="11" t="s">
        <v>190</v>
      </c>
      <c r="N115" s="11" t="s">
        <v>190</v>
      </c>
      <c r="O115" s="11" t="s">
        <v>190</v>
      </c>
      <c r="P115" s="11" t="s">
        <v>190</v>
      </c>
      <c r="Q115" s="11" t="s">
        <v>190</v>
      </c>
      <c r="R115" s="11" t="s">
        <v>190</v>
      </c>
      <c r="S115" s="11" t="s">
        <v>190</v>
      </c>
      <c r="T115" s="11" t="s">
        <v>190</v>
      </c>
      <c r="U115" s="11" t="s">
        <v>190</v>
      </c>
      <c r="V115" s="11" t="s">
        <v>190</v>
      </c>
      <c r="W115" s="11" t="s">
        <v>190</v>
      </c>
      <c r="X115" s="11" t="s">
        <v>190</v>
      </c>
      <c r="Y115" s="11" t="s">
        <v>190</v>
      </c>
      <c r="Z115" s="11" t="s">
        <v>190</v>
      </c>
      <c r="AA115" s="16" t="s">
        <v>991</v>
      </c>
      <c r="AB115" s="11" t="s">
        <v>190</v>
      </c>
      <c r="AC115" s="12"/>
      <c r="AD115" s="12" t="s">
        <v>1034</v>
      </c>
      <c r="AE115" s="13" t="s">
        <v>360</v>
      </c>
      <c r="AF115" s="14" t="s">
        <v>360</v>
      </c>
      <c r="AG115" s="12"/>
      <c r="AH115" s="12"/>
    </row>
    <row r="116" spans="2:34" ht="10.25" customHeight="1" x14ac:dyDescent="0.55000000000000004">
      <c r="B116" s="9" t="s">
        <v>992</v>
      </c>
      <c r="C116" s="10">
        <v>107</v>
      </c>
      <c r="D116" s="11" t="s">
        <v>190</v>
      </c>
      <c r="E116" s="11" t="s">
        <v>190</v>
      </c>
      <c r="F116" s="11" t="s">
        <v>190</v>
      </c>
      <c r="G116" s="11" t="s">
        <v>190</v>
      </c>
      <c r="H116" s="11" t="s">
        <v>190</v>
      </c>
      <c r="I116" s="11" t="s">
        <v>190</v>
      </c>
      <c r="J116" s="11" t="s">
        <v>190</v>
      </c>
      <c r="K116" s="11" t="s">
        <v>190</v>
      </c>
      <c r="L116" s="11" t="s">
        <v>190</v>
      </c>
      <c r="M116" s="11" t="s">
        <v>190</v>
      </c>
      <c r="N116" s="11" t="s">
        <v>190</v>
      </c>
      <c r="O116" s="11" t="s">
        <v>190</v>
      </c>
      <c r="P116" s="11" t="s">
        <v>190</v>
      </c>
      <c r="Q116" s="11" t="s">
        <v>190</v>
      </c>
      <c r="R116" s="11" t="s">
        <v>190</v>
      </c>
      <c r="S116" s="11" t="s">
        <v>190</v>
      </c>
      <c r="T116" s="11" t="s">
        <v>190</v>
      </c>
      <c r="U116" s="11" t="s">
        <v>190</v>
      </c>
      <c r="V116" s="11" t="s">
        <v>190</v>
      </c>
      <c r="W116" s="11" t="s">
        <v>190</v>
      </c>
      <c r="X116" s="11" t="s">
        <v>190</v>
      </c>
      <c r="Y116" s="11" t="s">
        <v>190</v>
      </c>
      <c r="Z116" s="11" t="s">
        <v>190</v>
      </c>
      <c r="AA116" s="9" t="s">
        <v>992</v>
      </c>
      <c r="AB116" s="11" t="s">
        <v>190</v>
      </c>
      <c r="AC116" s="12"/>
      <c r="AD116" s="12" t="s">
        <v>357</v>
      </c>
      <c r="AE116" s="13" t="s">
        <v>360</v>
      </c>
      <c r="AF116" s="14" t="s">
        <v>360</v>
      </c>
      <c r="AG116" s="12"/>
      <c r="AH116" s="12"/>
    </row>
    <row r="117" spans="2:34" ht="10.25" customHeight="1" x14ac:dyDescent="0.55000000000000004">
      <c r="B117" s="16" t="s">
        <v>1036</v>
      </c>
      <c r="C117" s="10">
        <v>108</v>
      </c>
      <c r="D117" s="11" t="s">
        <v>190</v>
      </c>
      <c r="E117" s="11" t="s">
        <v>190</v>
      </c>
      <c r="F117" s="11" t="s">
        <v>190</v>
      </c>
      <c r="G117" s="11" t="s">
        <v>190</v>
      </c>
      <c r="H117" s="11" t="s">
        <v>190</v>
      </c>
      <c r="I117" s="11" t="s">
        <v>190</v>
      </c>
      <c r="J117" s="11" t="s">
        <v>190</v>
      </c>
      <c r="K117" s="11" t="s">
        <v>190</v>
      </c>
      <c r="L117" s="11" t="s">
        <v>190</v>
      </c>
      <c r="M117" s="11" t="s">
        <v>190</v>
      </c>
      <c r="N117" s="11" t="s">
        <v>190</v>
      </c>
      <c r="O117" s="11" t="s">
        <v>190</v>
      </c>
      <c r="P117" s="11" t="s">
        <v>190</v>
      </c>
      <c r="Q117" s="11" t="s">
        <v>190</v>
      </c>
      <c r="R117" s="11" t="s">
        <v>190</v>
      </c>
      <c r="S117" s="11" t="s">
        <v>190</v>
      </c>
      <c r="T117" s="11" t="s">
        <v>190</v>
      </c>
      <c r="U117" s="11" t="s">
        <v>190</v>
      </c>
      <c r="V117" s="11" t="s">
        <v>190</v>
      </c>
      <c r="W117" s="11" t="s">
        <v>190</v>
      </c>
      <c r="X117" s="11" t="s">
        <v>190</v>
      </c>
      <c r="Y117" s="11" t="s">
        <v>190</v>
      </c>
      <c r="Z117" s="11" t="s">
        <v>190</v>
      </c>
      <c r="AA117" s="16" t="s">
        <v>1036</v>
      </c>
      <c r="AB117" s="11" t="s">
        <v>190</v>
      </c>
      <c r="AC117" s="12"/>
      <c r="AD117" s="12" t="s">
        <v>1037</v>
      </c>
      <c r="AE117" s="13" t="s">
        <v>360</v>
      </c>
      <c r="AF117" s="14" t="s">
        <v>360</v>
      </c>
      <c r="AG117" s="12"/>
      <c r="AH117" s="12"/>
    </row>
    <row r="118" spans="2:34" ht="10.25" customHeight="1" x14ac:dyDescent="0.55000000000000004">
      <c r="B118" s="9" t="s">
        <v>179</v>
      </c>
      <c r="C118" s="10">
        <v>109</v>
      </c>
      <c r="D118" s="11" t="s">
        <v>190</v>
      </c>
      <c r="E118" s="11" t="s">
        <v>190</v>
      </c>
      <c r="F118" s="11" t="s">
        <v>190</v>
      </c>
      <c r="G118" s="11" t="s">
        <v>190</v>
      </c>
      <c r="H118" s="11" t="s">
        <v>190</v>
      </c>
      <c r="I118" s="11" t="s">
        <v>190</v>
      </c>
      <c r="J118" s="11" t="s">
        <v>190</v>
      </c>
      <c r="K118" s="11" t="s">
        <v>190</v>
      </c>
      <c r="L118" s="11" t="s">
        <v>190</v>
      </c>
      <c r="M118" s="11" t="s">
        <v>190</v>
      </c>
      <c r="N118" s="11" t="s">
        <v>190</v>
      </c>
      <c r="O118" s="11" t="s">
        <v>190</v>
      </c>
      <c r="P118" s="11" t="s">
        <v>190</v>
      </c>
      <c r="Q118" s="11" t="s">
        <v>190</v>
      </c>
      <c r="R118" s="11" t="s">
        <v>190</v>
      </c>
      <c r="S118" s="11" t="s">
        <v>190</v>
      </c>
      <c r="T118" s="11" t="s">
        <v>190</v>
      </c>
      <c r="U118" s="11" t="s">
        <v>190</v>
      </c>
      <c r="V118" s="11" t="s">
        <v>190</v>
      </c>
      <c r="W118" s="11" t="s">
        <v>190</v>
      </c>
      <c r="X118" s="11" t="s">
        <v>190</v>
      </c>
      <c r="Y118" s="11" t="s">
        <v>190</v>
      </c>
      <c r="Z118" s="11" t="s">
        <v>190</v>
      </c>
      <c r="AA118" s="9" t="s">
        <v>179</v>
      </c>
      <c r="AB118" s="11" t="s">
        <v>190</v>
      </c>
      <c r="AC118" s="12"/>
      <c r="AD118" s="12" t="s">
        <v>355</v>
      </c>
      <c r="AE118" s="13" t="s">
        <v>360</v>
      </c>
      <c r="AF118" s="14" t="s">
        <v>360</v>
      </c>
      <c r="AG118" s="12"/>
      <c r="AH118" s="12"/>
    </row>
    <row r="119" spans="2:34" ht="10.25" customHeight="1" x14ac:dyDescent="0.55000000000000004">
      <c r="B119" s="13" t="s">
        <v>1014</v>
      </c>
      <c r="C119" s="52">
        <v>110</v>
      </c>
      <c r="D119" s="14" t="s">
        <v>57</v>
      </c>
      <c r="E119" s="14" t="s">
        <v>495</v>
      </c>
      <c r="F119" s="14" t="s">
        <v>496</v>
      </c>
      <c r="G119" s="14" t="s">
        <v>728</v>
      </c>
      <c r="H119" s="11" t="s">
        <v>190</v>
      </c>
      <c r="I119" s="11" t="s">
        <v>190</v>
      </c>
      <c r="J119" s="11" t="s">
        <v>190</v>
      </c>
      <c r="K119" s="11" t="s">
        <v>190</v>
      </c>
      <c r="L119" s="11" t="s">
        <v>190</v>
      </c>
      <c r="M119" s="11" t="s">
        <v>190</v>
      </c>
      <c r="N119" s="11" t="s">
        <v>190</v>
      </c>
      <c r="O119" s="11" t="s">
        <v>190</v>
      </c>
      <c r="P119" s="11" t="s">
        <v>190</v>
      </c>
      <c r="Q119" s="11" t="s">
        <v>190</v>
      </c>
      <c r="R119" s="11" t="s">
        <v>190</v>
      </c>
      <c r="S119" s="11" t="s">
        <v>190</v>
      </c>
      <c r="T119" s="11" t="s">
        <v>190</v>
      </c>
      <c r="U119" s="11" t="s">
        <v>190</v>
      </c>
      <c r="V119" s="11" t="s">
        <v>190</v>
      </c>
      <c r="W119" s="11" t="s">
        <v>190</v>
      </c>
      <c r="X119" s="11" t="s">
        <v>190</v>
      </c>
      <c r="Y119" s="150" t="s">
        <v>204</v>
      </c>
      <c r="Z119" s="11" t="s">
        <v>190</v>
      </c>
      <c r="AA119" s="15"/>
      <c r="AB119" s="11" t="s">
        <v>190</v>
      </c>
      <c r="AC119" s="12"/>
      <c r="AD119" s="12"/>
      <c r="AE119" s="13" t="s">
        <v>1042</v>
      </c>
      <c r="AF119" s="14" t="s">
        <v>1036</v>
      </c>
      <c r="AG119" s="12"/>
      <c r="AH119" s="12"/>
    </row>
    <row r="120" spans="2:34" ht="10.25" customHeight="1" x14ac:dyDescent="0.55000000000000004">
      <c r="B120" s="13" t="s">
        <v>58</v>
      </c>
      <c r="C120" s="52">
        <v>111</v>
      </c>
      <c r="D120" s="14" t="s">
        <v>58</v>
      </c>
      <c r="E120" s="14" t="s">
        <v>499</v>
      </c>
      <c r="F120" s="14" t="s">
        <v>500</v>
      </c>
      <c r="G120" s="14" t="s">
        <v>729</v>
      </c>
      <c r="H120" s="11" t="s">
        <v>190</v>
      </c>
      <c r="I120" s="11" t="s">
        <v>190</v>
      </c>
      <c r="J120" s="11" t="s">
        <v>190</v>
      </c>
      <c r="K120" s="11" t="s">
        <v>190</v>
      </c>
      <c r="L120" s="11" t="s">
        <v>190</v>
      </c>
      <c r="M120" s="11" t="s">
        <v>190</v>
      </c>
      <c r="N120" s="11" t="s">
        <v>190</v>
      </c>
      <c r="O120" s="11" t="s">
        <v>190</v>
      </c>
      <c r="P120" s="11" t="s">
        <v>190</v>
      </c>
      <c r="Q120" s="11" t="s">
        <v>190</v>
      </c>
      <c r="R120" s="11" t="s">
        <v>190</v>
      </c>
      <c r="S120" s="11" t="s">
        <v>190</v>
      </c>
      <c r="T120" s="11" t="s">
        <v>190</v>
      </c>
      <c r="U120" s="11" t="s">
        <v>190</v>
      </c>
      <c r="V120" s="11" t="s">
        <v>190</v>
      </c>
      <c r="W120" s="11" t="s">
        <v>190</v>
      </c>
      <c r="X120" s="11" t="s">
        <v>190</v>
      </c>
      <c r="Y120" s="150" t="s">
        <v>205</v>
      </c>
      <c r="Z120" s="11" t="s">
        <v>190</v>
      </c>
      <c r="AA120" s="15"/>
      <c r="AB120" s="11" t="s">
        <v>190</v>
      </c>
      <c r="AC120" s="12"/>
      <c r="AD120" s="12"/>
      <c r="AE120" s="13" t="s">
        <v>1042</v>
      </c>
      <c r="AF120" s="14" t="s">
        <v>1036</v>
      </c>
      <c r="AG120" s="12"/>
      <c r="AH120" s="12"/>
    </row>
    <row r="121" spans="2:34" ht="10.25" customHeight="1" x14ac:dyDescent="0.55000000000000004">
      <c r="B121" s="9" t="s">
        <v>993</v>
      </c>
      <c r="C121" s="10">
        <v>112</v>
      </c>
      <c r="D121" s="11" t="s">
        <v>190</v>
      </c>
      <c r="E121" s="11" t="s">
        <v>190</v>
      </c>
      <c r="F121" s="11" t="s">
        <v>190</v>
      </c>
      <c r="G121" s="11" t="s">
        <v>190</v>
      </c>
      <c r="H121" s="11" t="s">
        <v>190</v>
      </c>
      <c r="I121" s="11" t="s">
        <v>190</v>
      </c>
      <c r="J121" s="11" t="s">
        <v>190</v>
      </c>
      <c r="K121" s="11" t="s">
        <v>190</v>
      </c>
      <c r="L121" s="11" t="s">
        <v>190</v>
      </c>
      <c r="M121" s="11" t="s">
        <v>190</v>
      </c>
      <c r="N121" s="11" t="s">
        <v>190</v>
      </c>
      <c r="O121" s="11" t="s">
        <v>190</v>
      </c>
      <c r="P121" s="11" t="s">
        <v>190</v>
      </c>
      <c r="Q121" s="11" t="s">
        <v>190</v>
      </c>
      <c r="R121" s="11" t="s">
        <v>190</v>
      </c>
      <c r="S121" s="11" t="s">
        <v>190</v>
      </c>
      <c r="T121" s="11" t="s">
        <v>190</v>
      </c>
      <c r="U121" s="11" t="s">
        <v>190</v>
      </c>
      <c r="V121" s="11" t="s">
        <v>190</v>
      </c>
      <c r="W121" s="11" t="s">
        <v>190</v>
      </c>
      <c r="X121" s="11" t="s">
        <v>190</v>
      </c>
      <c r="Y121" s="11" t="s">
        <v>190</v>
      </c>
      <c r="Z121" s="11" t="s">
        <v>190</v>
      </c>
      <c r="AA121" s="9" t="s">
        <v>993</v>
      </c>
      <c r="AB121" s="11" t="s">
        <v>190</v>
      </c>
      <c r="AC121" s="12"/>
      <c r="AD121" s="12" t="s">
        <v>1040</v>
      </c>
      <c r="AE121" s="13" t="s">
        <v>360</v>
      </c>
      <c r="AF121" s="14" t="s">
        <v>360</v>
      </c>
      <c r="AG121" s="12"/>
      <c r="AH121" s="12"/>
    </row>
    <row r="122" spans="2:34" ht="10.25" customHeight="1" x14ac:dyDescent="0.55000000000000004">
      <c r="B122" s="16" t="s">
        <v>994</v>
      </c>
      <c r="C122" s="10">
        <v>113</v>
      </c>
      <c r="D122" s="11" t="s">
        <v>190</v>
      </c>
      <c r="E122" s="11" t="s">
        <v>190</v>
      </c>
      <c r="F122" s="11" t="s">
        <v>190</v>
      </c>
      <c r="G122" s="11" t="s">
        <v>190</v>
      </c>
      <c r="H122" s="11" t="s">
        <v>190</v>
      </c>
      <c r="I122" s="11" t="s">
        <v>190</v>
      </c>
      <c r="J122" s="11" t="s">
        <v>190</v>
      </c>
      <c r="K122" s="11" t="s">
        <v>190</v>
      </c>
      <c r="L122" s="11" t="s">
        <v>190</v>
      </c>
      <c r="M122" s="11" t="s">
        <v>190</v>
      </c>
      <c r="N122" s="11" t="s">
        <v>190</v>
      </c>
      <c r="O122" s="11" t="s">
        <v>190</v>
      </c>
      <c r="P122" s="11" t="s">
        <v>190</v>
      </c>
      <c r="Q122" s="11" t="s">
        <v>190</v>
      </c>
      <c r="R122" s="11" t="s">
        <v>190</v>
      </c>
      <c r="S122" s="11" t="s">
        <v>190</v>
      </c>
      <c r="T122" s="11" t="s">
        <v>190</v>
      </c>
      <c r="U122" s="11" t="s">
        <v>190</v>
      </c>
      <c r="V122" s="11" t="s">
        <v>190</v>
      </c>
      <c r="W122" s="11" t="s">
        <v>190</v>
      </c>
      <c r="X122" s="11" t="s">
        <v>190</v>
      </c>
      <c r="Y122" s="11" t="s">
        <v>190</v>
      </c>
      <c r="Z122" s="11" t="s">
        <v>190</v>
      </c>
      <c r="AA122" s="16" t="s">
        <v>994</v>
      </c>
      <c r="AB122" s="11" t="s">
        <v>190</v>
      </c>
      <c r="AC122" s="12"/>
      <c r="AD122" s="12" t="s">
        <v>1039</v>
      </c>
      <c r="AE122" s="13" t="s">
        <v>360</v>
      </c>
      <c r="AF122" s="14" t="s">
        <v>360</v>
      </c>
      <c r="AG122" s="12"/>
      <c r="AH122" s="12"/>
    </row>
    <row r="123" spans="2:34" ht="10.25" customHeight="1" x14ac:dyDescent="0.55000000000000004">
      <c r="B123" s="14" t="s">
        <v>1086</v>
      </c>
      <c r="C123" s="52">
        <v>114</v>
      </c>
      <c r="D123" s="14" t="s">
        <v>71</v>
      </c>
      <c r="E123" s="14" t="s">
        <v>437</v>
      </c>
      <c r="F123" s="14" t="s">
        <v>669</v>
      </c>
      <c r="G123" s="11" t="s">
        <v>190</v>
      </c>
      <c r="H123" s="14" t="s">
        <v>118</v>
      </c>
      <c r="I123" s="11" t="s">
        <v>190</v>
      </c>
      <c r="J123" s="11" t="s">
        <v>190</v>
      </c>
      <c r="K123" s="11" t="s">
        <v>190</v>
      </c>
      <c r="L123" s="11" t="s">
        <v>190</v>
      </c>
      <c r="M123" s="11" t="s">
        <v>190</v>
      </c>
      <c r="N123" s="14" t="s">
        <v>737</v>
      </c>
      <c r="O123" s="14" t="s">
        <v>738</v>
      </c>
      <c r="P123" s="14" t="s">
        <v>973</v>
      </c>
      <c r="Q123" s="11" t="s">
        <v>190</v>
      </c>
      <c r="R123" s="11" t="s">
        <v>190</v>
      </c>
      <c r="S123" s="11" t="s">
        <v>190</v>
      </c>
      <c r="T123" s="11" t="s">
        <v>190</v>
      </c>
      <c r="U123" s="11" t="s">
        <v>190</v>
      </c>
      <c r="V123" s="11" t="s">
        <v>190</v>
      </c>
      <c r="W123" s="11" t="s">
        <v>190</v>
      </c>
      <c r="X123" s="11" t="s">
        <v>190</v>
      </c>
      <c r="Y123" s="150" t="s">
        <v>214</v>
      </c>
      <c r="Z123" s="11" t="s">
        <v>190</v>
      </c>
      <c r="AA123" s="15"/>
      <c r="AB123" s="11" t="s">
        <v>190</v>
      </c>
      <c r="AC123" s="12" t="s">
        <v>1182</v>
      </c>
      <c r="AD123" s="12"/>
      <c r="AE123" s="13" t="s">
        <v>1044</v>
      </c>
      <c r="AF123" s="14" t="s">
        <v>994</v>
      </c>
      <c r="AG123" s="12"/>
      <c r="AH123" s="12"/>
    </row>
    <row r="124" spans="2:34" ht="10.25" customHeight="1" x14ac:dyDescent="0.55000000000000004">
      <c r="B124" s="14" t="s">
        <v>72</v>
      </c>
      <c r="C124" s="52">
        <v>115</v>
      </c>
      <c r="D124" s="14" t="s">
        <v>72</v>
      </c>
      <c r="E124" s="14" t="s">
        <v>691</v>
      </c>
      <c r="F124" s="14" t="s">
        <v>439</v>
      </c>
      <c r="G124" s="14" t="s">
        <v>671</v>
      </c>
      <c r="H124" s="14" t="s">
        <v>120</v>
      </c>
      <c r="I124" s="11" t="s">
        <v>190</v>
      </c>
      <c r="J124" s="11" t="s">
        <v>190</v>
      </c>
      <c r="K124" s="11" t="s">
        <v>190</v>
      </c>
      <c r="L124" s="11" t="s">
        <v>190</v>
      </c>
      <c r="M124" s="11" t="s">
        <v>190</v>
      </c>
      <c r="N124" s="14" t="s">
        <v>739</v>
      </c>
      <c r="O124" s="14" t="s">
        <v>740</v>
      </c>
      <c r="P124" s="14" t="s">
        <v>974</v>
      </c>
      <c r="Q124" s="11" t="s">
        <v>190</v>
      </c>
      <c r="R124" s="11" t="s">
        <v>190</v>
      </c>
      <c r="S124" s="11" t="s">
        <v>190</v>
      </c>
      <c r="T124" s="11" t="s">
        <v>190</v>
      </c>
      <c r="U124" s="11" t="s">
        <v>190</v>
      </c>
      <c r="V124" s="11" t="s">
        <v>190</v>
      </c>
      <c r="W124" s="11" t="s">
        <v>190</v>
      </c>
      <c r="X124" s="11" t="s">
        <v>190</v>
      </c>
      <c r="Y124" s="150" t="s">
        <v>215</v>
      </c>
      <c r="Z124" s="11" t="s">
        <v>190</v>
      </c>
      <c r="AA124" s="15"/>
      <c r="AB124" s="11" t="s">
        <v>190</v>
      </c>
      <c r="AC124" s="12" t="s">
        <v>1182</v>
      </c>
      <c r="AD124" s="12"/>
      <c r="AE124" s="13" t="s">
        <v>1044</v>
      </c>
      <c r="AF124" s="14" t="s">
        <v>994</v>
      </c>
      <c r="AG124" s="12"/>
      <c r="AH124" s="12"/>
    </row>
    <row r="125" spans="2:34" ht="10.25" customHeight="1" x14ac:dyDescent="0.55000000000000004">
      <c r="B125" s="14" t="s">
        <v>73</v>
      </c>
      <c r="C125" s="52">
        <v>116</v>
      </c>
      <c r="D125" s="14" t="s">
        <v>73</v>
      </c>
      <c r="E125" s="14" t="s">
        <v>434</v>
      </c>
      <c r="F125" s="14" t="s">
        <v>697</v>
      </c>
      <c r="G125" s="11" t="s">
        <v>190</v>
      </c>
      <c r="H125" s="14" t="s">
        <v>122</v>
      </c>
      <c r="I125" s="11" t="s">
        <v>190</v>
      </c>
      <c r="J125" s="11" t="s">
        <v>190</v>
      </c>
      <c r="K125" s="11" t="s">
        <v>190</v>
      </c>
      <c r="L125" s="11" t="s">
        <v>190</v>
      </c>
      <c r="M125" s="11" t="s">
        <v>190</v>
      </c>
      <c r="N125" s="14" t="s">
        <v>741</v>
      </c>
      <c r="O125" s="14" t="s">
        <v>742</v>
      </c>
      <c r="P125" s="11" t="s">
        <v>190</v>
      </c>
      <c r="Q125" s="11" t="s">
        <v>190</v>
      </c>
      <c r="R125" s="11" t="s">
        <v>190</v>
      </c>
      <c r="S125" s="11" t="s">
        <v>190</v>
      </c>
      <c r="T125" s="11" t="s">
        <v>190</v>
      </c>
      <c r="U125" s="11" t="s">
        <v>190</v>
      </c>
      <c r="V125" s="11" t="s">
        <v>190</v>
      </c>
      <c r="W125" s="11" t="s">
        <v>190</v>
      </c>
      <c r="X125" s="11" t="s">
        <v>190</v>
      </c>
      <c r="Y125" s="150" t="s">
        <v>216</v>
      </c>
      <c r="Z125" s="11" t="s">
        <v>190</v>
      </c>
      <c r="AA125" s="15"/>
      <c r="AB125" s="11" t="s">
        <v>190</v>
      </c>
      <c r="AC125" s="12" t="s">
        <v>1182</v>
      </c>
      <c r="AD125" s="12"/>
      <c r="AE125" s="13" t="s">
        <v>1044</v>
      </c>
      <c r="AF125" s="14" t="s">
        <v>994</v>
      </c>
      <c r="AG125" s="12"/>
      <c r="AH125" s="12"/>
    </row>
    <row r="126" spans="2:34" ht="10.25" customHeight="1" x14ac:dyDescent="0.55000000000000004">
      <c r="B126" s="14" t="s">
        <v>74</v>
      </c>
      <c r="C126" s="52">
        <v>117</v>
      </c>
      <c r="D126" s="14" t="s">
        <v>74</v>
      </c>
      <c r="E126" s="14" t="s">
        <v>696</v>
      </c>
      <c r="F126" s="14" t="s">
        <v>438</v>
      </c>
      <c r="G126" s="14" t="s">
        <v>703</v>
      </c>
      <c r="H126" s="14" t="s">
        <v>116</v>
      </c>
      <c r="I126" s="11" t="s">
        <v>190</v>
      </c>
      <c r="J126" s="11" t="s">
        <v>190</v>
      </c>
      <c r="K126" s="11" t="s">
        <v>190</v>
      </c>
      <c r="L126" s="11" t="s">
        <v>190</v>
      </c>
      <c r="M126" s="11" t="s">
        <v>190</v>
      </c>
      <c r="N126" s="14" t="s">
        <v>743</v>
      </c>
      <c r="O126" s="14" t="s">
        <v>744</v>
      </c>
      <c r="P126" s="11" t="s">
        <v>190</v>
      </c>
      <c r="Q126" s="11" t="s">
        <v>190</v>
      </c>
      <c r="R126" s="11" t="s">
        <v>190</v>
      </c>
      <c r="S126" s="11" t="s">
        <v>190</v>
      </c>
      <c r="T126" s="11" t="s">
        <v>190</v>
      </c>
      <c r="U126" s="11" t="s">
        <v>190</v>
      </c>
      <c r="V126" s="11" t="s">
        <v>190</v>
      </c>
      <c r="W126" s="11" t="s">
        <v>190</v>
      </c>
      <c r="X126" s="11" t="s">
        <v>190</v>
      </c>
      <c r="Y126" s="150" t="s">
        <v>217</v>
      </c>
      <c r="Z126" s="11" t="s">
        <v>190</v>
      </c>
      <c r="AA126" s="15"/>
      <c r="AB126" s="11" t="s">
        <v>190</v>
      </c>
      <c r="AC126" s="12" t="s">
        <v>1182</v>
      </c>
      <c r="AD126" s="12"/>
      <c r="AE126" s="13" t="s">
        <v>1044</v>
      </c>
      <c r="AF126" s="14" t="s">
        <v>994</v>
      </c>
      <c r="AG126" s="12"/>
      <c r="AH126" s="12"/>
    </row>
    <row r="127" spans="2:34" ht="10.25" customHeight="1" x14ac:dyDescent="0.55000000000000004">
      <c r="B127" s="14" t="s">
        <v>75</v>
      </c>
      <c r="C127" s="52">
        <v>118</v>
      </c>
      <c r="D127" s="14" t="s">
        <v>75</v>
      </c>
      <c r="E127" s="14" t="s">
        <v>430</v>
      </c>
      <c r="F127" s="14" t="s">
        <v>702</v>
      </c>
      <c r="G127" s="11" t="s">
        <v>190</v>
      </c>
      <c r="H127" s="11" t="s">
        <v>190</v>
      </c>
      <c r="I127" s="11" t="s">
        <v>190</v>
      </c>
      <c r="J127" s="11" t="s">
        <v>190</v>
      </c>
      <c r="K127" s="11" t="s">
        <v>190</v>
      </c>
      <c r="L127" s="11" t="s">
        <v>190</v>
      </c>
      <c r="M127" s="11" t="s">
        <v>190</v>
      </c>
      <c r="N127" s="14" t="s">
        <v>745</v>
      </c>
      <c r="O127" s="11" t="s">
        <v>190</v>
      </c>
      <c r="P127" s="11" t="s">
        <v>190</v>
      </c>
      <c r="Q127" s="14" t="s">
        <v>60</v>
      </c>
      <c r="R127" s="11" t="s">
        <v>190</v>
      </c>
      <c r="S127" s="11" t="s">
        <v>190</v>
      </c>
      <c r="T127" s="11" t="s">
        <v>190</v>
      </c>
      <c r="U127" s="11" t="s">
        <v>190</v>
      </c>
      <c r="V127" s="11" t="s">
        <v>190</v>
      </c>
      <c r="W127" s="11" t="s">
        <v>190</v>
      </c>
      <c r="X127" s="11" t="s">
        <v>190</v>
      </c>
      <c r="Y127" s="150" t="s">
        <v>218</v>
      </c>
      <c r="Z127" s="11" t="s">
        <v>190</v>
      </c>
      <c r="AA127" s="15"/>
      <c r="AB127" s="11" t="s">
        <v>190</v>
      </c>
      <c r="AC127" s="12" t="s">
        <v>1182</v>
      </c>
      <c r="AD127" s="12"/>
      <c r="AE127" s="13" t="s">
        <v>1044</v>
      </c>
      <c r="AF127" s="14" t="s">
        <v>994</v>
      </c>
      <c r="AG127" s="12"/>
      <c r="AH127" s="12"/>
    </row>
    <row r="128" spans="2:34" ht="10.25" customHeight="1" x14ac:dyDescent="0.55000000000000004">
      <c r="B128" s="14" t="s">
        <v>76</v>
      </c>
      <c r="C128" s="52">
        <v>119</v>
      </c>
      <c r="D128" s="14" t="s">
        <v>76</v>
      </c>
      <c r="E128" s="14" t="s">
        <v>701</v>
      </c>
      <c r="F128" s="14" t="s">
        <v>435</v>
      </c>
      <c r="G128" s="14" t="s">
        <v>707</v>
      </c>
      <c r="H128" s="11" t="s">
        <v>190</v>
      </c>
      <c r="I128" s="11" t="s">
        <v>190</v>
      </c>
      <c r="J128" s="11" t="s">
        <v>190</v>
      </c>
      <c r="K128" s="11" t="s">
        <v>190</v>
      </c>
      <c r="L128" s="11" t="s">
        <v>190</v>
      </c>
      <c r="M128" s="11" t="s">
        <v>190</v>
      </c>
      <c r="N128" s="11" t="s">
        <v>190</v>
      </c>
      <c r="O128" s="11" t="s">
        <v>190</v>
      </c>
      <c r="P128" s="11" t="s">
        <v>190</v>
      </c>
      <c r="Q128" s="14" t="s">
        <v>63</v>
      </c>
      <c r="R128" s="11" t="s">
        <v>190</v>
      </c>
      <c r="S128" s="11" t="s">
        <v>190</v>
      </c>
      <c r="T128" s="11" t="s">
        <v>190</v>
      </c>
      <c r="U128" s="11" t="s">
        <v>190</v>
      </c>
      <c r="V128" s="11" t="s">
        <v>190</v>
      </c>
      <c r="W128" s="11" t="s">
        <v>190</v>
      </c>
      <c r="X128" s="11" t="s">
        <v>190</v>
      </c>
      <c r="Y128" s="150" t="s">
        <v>219</v>
      </c>
      <c r="Z128" s="11" t="s">
        <v>190</v>
      </c>
      <c r="AA128" s="15"/>
      <c r="AB128" s="11" t="s">
        <v>190</v>
      </c>
      <c r="AC128" s="12"/>
      <c r="AD128" s="12"/>
      <c r="AE128" s="13" t="s">
        <v>1044</v>
      </c>
      <c r="AF128" s="14" t="s">
        <v>994</v>
      </c>
      <c r="AG128" s="12"/>
      <c r="AH128" s="12"/>
    </row>
    <row r="129" spans="2:34" ht="10.25" customHeight="1" x14ac:dyDescent="0.55000000000000004">
      <c r="B129" s="14" t="s">
        <v>746</v>
      </c>
      <c r="C129" s="52">
        <v>120</v>
      </c>
      <c r="D129" s="14" t="s">
        <v>746</v>
      </c>
      <c r="E129" s="14" t="s">
        <v>425</v>
      </c>
      <c r="F129" s="14" t="s">
        <v>706</v>
      </c>
      <c r="G129" s="11" t="s">
        <v>190</v>
      </c>
      <c r="H129" s="11" t="s">
        <v>190</v>
      </c>
      <c r="I129" s="11" t="s">
        <v>190</v>
      </c>
      <c r="J129" s="11" t="s">
        <v>190</v>
      </c>
      <c r="K129" s="11" t="s">
        <v>190</v>
      </c>
      <c r="L129" s="11" t="s">
        <v>190</v>
      </c>
      <c r="M129" s="11" t="s">
        <v>190</v>
      </c>
      <c r="N129" s="11" t="s">
        <v>190</v>
      </c>
      <c r="O129" s="11" t="s">
        <v>190</v>
      </c>
      <c r="P129" s="11" t="s">
        <v>190</v>
      </c>
      <c r="Q129" s="14" t="s">
        <v>66</v>
      </c>
      <c r="R129" s="11" t="s">
        <v>190</v>
      </c>
      <c r="S129" s="11" t="s">
        <v>190</v>
      </c>
      <c r="T129" s="11" t="s">
        <v>190</v>
      </c>
      <c r="U129" s="11" t="s">
        <v>190</v>
      </c>
      <c r="V129" s="11" t="s">
        <v>190</v>
      </c>
      <c r="W129" s="11" t="s">
        <v>190</v>
      </c>
      <c r="X129" s="11" t="s">
        <v>190</v>
      </c>
      <c r="Y129" s="150" t="s">
        <v>220</v>
      </c>
      <c r="Z129" s="11" t="s">
        <v>190</v>
      </c>
      <c r="AA129" s="15"/>
      <c r="AB129" s="11" t="s">
        <v>190</v>
      </c>
      <c r="AC129" s="12"/>
      <c r="AD129" s="12"/>
      <c r="AE129" s="13" t="s">
        <v>1044</v>
      </c>
      <c r="AF129" s="14" t="s">
        <v>994</v>
      </c>
      <c r="AG129" s="12"/>
      <c r="AH129" s="12"/>
    </row>
    <row r="130" spans="2:34" ht="10.25" customHeight="1" x14ac:dyDescent="0.55000000000000004">
      <c r="B130" s="14" t="s">
        <v>747</v>
      </c>
      <c r="C130" s="52">
        <v>121</v>
      </c>
      <c r="D130" s="14" t="s">
        <v>747</v>
      </c>
      <c r="E130" s="14" t="s">
        <v>705</v>
      </c>
      <c r="F130" s="14" t="s">
        <v>431</v>
      </c>
      <c r="G130" s="14" t="s">
        <v>711</v>
      </c>
      <c r="H130" s="11" t="s">
        <v>190</v>
      </c>
      <c r="I130" s="11" t="s">
        <v>190</v>
      </c>
      <c r="J130" s="11" t="s">
        <v>190</v>
      </c>
      <c r="K130" s="11" t="s">
        <v>190</v>
      </c>
      <c r="L130" s="11" t="s">
        <v>190</v>
      </c>
      <c r="M130" s="11" t="s">
        <v>190</v>
      </c>
      <c r="N130" s="11" t="s">
        <v>190</v>
      </c>
      <c r="O130" s="11" t="s">
        <v>190</v>
      </c>
      <c r="P130" s="11" t="s">
        <v>190</v>
      </c>
      <c r="Q130" s="14" t="s">
        <v>69</v>
      </c>
      <c r="R130" s="11" t="s">
        <v>190</v>
      </c>
      <c r="S130" s="11" t="s">
        <v>190</v>
      </c>
      <c r="T130" s="11" t="s">
        <v>190</v>
      </c>
      <c r="U130" s="11" t="s">
        <v>190</v>
      </c>
      <c r="V130" s="11" t="s">
        <v>190</v>
      </c>
      <c r="W130" s="11" t="s">
        <v>190</v>
      </c>
      <c r="X130" s="11" t="s">
        <v>190</v>
      </c>
      <c r="Y130" s="150" t="s">
        <v>221</v>
      </c>
      <c r="Z130" s="11" t="s">
        <v>190</v>
      </c>
      <c r="AA130" s="15"/>
      <c r="AB130" s="11" t="s">
        <v>190</v>
      </c>
      <c r="AC130" s="12"/>
      <c r="AD130" s="12"/>
      <c r="AE130" s="13" t="s">
        <v>1044</v>
      </c>
      <c r="AF130" s="14" t="s">
        <v>994</v>
      </c>
      <c r="AG130" s="12"/>
      <c r="AH130" s="12"/>
    </row>
    <row r="131" spans="2:34" ht="10.25" customHeight="1" x14ac:dyDescent="0.55000000000000004">
      <c r="B131" s="9" t="s">
        <v>993</v>
      </c>
      <c r="C131" s="10">
        <v>122</v>
      </c>
      <c r="D131" s="11" t="s">
        <v>190</v>
      </c>
      <c r="E131" s="11" t="s">
        <v>190</v>
      </c>
      <c r="F131" s="11" t="s">
        <v>190</v>
      </c>
      <c r="G131" s="11" t="s">
        <v>190</v>
      </c>
      <c r="H131" s="11" t="s">
        <v>190</v>
      </c>
      <c r="I131" s="11" t="s">
        <v>190</v>
      </c>
      <c r="J131" s="11" t="s">
        <v>190</v>
      </c>
      <c r="K131" s="11" t="s">
        <v>190</v>
      </c>
      <c r="L131" s="11" t="s">
        <v>190</v>
      </c>
      <c r="M131" s="11" t="s">
        <v>190</v>
      </c>
      <c r="N131" s="11" t="s">
        <v>190</v>
      </c>
      <c r="O131" s="11" t="s">
        <v>190</v>
      </c>
      <c r="P131" s="11" t="s">
        <v>190</v>
      </c>
      <c r="Q131" s="11" t="s">
        <v>190</v>
      </c>
      <c r="R131" s="11" t="s">
        <v>190</v>
      </c>
      <c r="S131" s="11" t="s">
        <v>190</v>
      </c>
      <c r="T131" s="11" t="s">
        <v>190</v>
      </c>
      <c r="U131" s="11" t="s">
        <v>190</v>
      </c>
      <c r="V131" s="11" t="s">
        <v>190</v>
      </c>
      <c r="W131" s="11" t="s">
        <v>190</v>
      </c>
      <c r="X131" s="11" t="s">
        <v>190</v>
      </c>
      <c r="Y131" s="11" t="s">
        <v>190</v>
      </c>
      <c r="Z131" s="11" t="s">
        <v>190</v>
      </c>
      <c r="AA131" s="9" t="s">
        <v>993</v>
      </c>
      <c r="AB131" s="11" t="s">
        <v>190</v>
      </c>
      <c r="AC131" s="12"/>
      <c r="AD131" s="12" t="s">
        <v>1040</v>
      </c>
      <c r="AE131" s="13" t="s">
        <v>360</v>
      </c>
      <c r="AF131" s="14" t="s">
        <v>360</v>
      </c>
      <c r="AG131" s="12"/>
      <c r="AH131" s="12"/>
    </row>
    <row r="132" spans="2:34" ht="10.25" customHeight="1" x14ac:dyDescent="0.55000000000000004">
      <c r="B132" s="16" t="s">
        <v>994</v>
      </c>
      <c r="C132" s="10">
        <v>123</v>
      </c>
      <c r="D132" s="11" t="s">
        <v>190</v>
      </c>
      <c r="E132" s="11" t="s">
        <v>190</v>
      </c>
      <c r="F132" s="11" t="s">
        <v>190</v>
      </c>
      <c r="G132" s="11" t="s">
        <v>190</v>
      </c>
      <c r="H132" s="11" t="s">
        <v>190</v>
      </c>
      <c r="I132" s="11" t="s">
        <v>190</v>
      </c>
      <c r="J132" s="11" t="s">
        <v>190</v>
      </c>
      <c r="K132" s="11" t="s">
        <v>190</v>
      </c>
      <c r="L132" s="11" t="s">
        <v>190</v>
      </c>
      <c r="M132" s="11" t="s">
        <v>190</v>
      </c>
      <c r="N132" s="11" t="s">
        <v>190</v>
      </c>
      <c r="O132" s="11" t="s">
        <v>190</v>
      </c>
      <c r="P132" s="11" t="s">
        <v>190</v>
      </c>
      <c r="Q132" s="11" t="s">
        <v>190</v>
      </c>
      <c r="R132" s="11" t="s">
        <v>190</v>
      </c>
      <c r="S132" s="11" t="s">
        <v>190</v>
      </c>
      <c r="T132" s="11" t="s">
        <v>190</v>
      </c>
      <c r="U132" s="11" t="s">
        <v>190</v>
      </c>
      <c r="V132" s="11" t="s">
        <v>190</v>
      </c>
      <c r="W132" s="11" t="s">
        <v>190</v>
      </c>
      <c r="X132" s="11" t="s">
        <v>190</v>
      </c>
      <c r="Y132" s="11" t="s">
        <v>190</v>
      </c>
      <c r="Z132" s="11" t="s">
        <v>190</v>
      </c>
      <c r="AA132" s="16" t="s">
        <v>994</v>
      </c>
      <c r="AB132" s="11" t="s">
        <v>190</v>
      </c>
      <c r="AC132" s="12"/>
      <c r="AD132" s="12" t="s">
        <v>1039</v>
      </c>
      <c r="AE132" s="13" t="s">
        <v>360</v>
      </c>
      <c r="AF132" s="14" t="s">
        <v>360</v>
      </c>
      <c r="AG132" s="12"/>
      <c r="AH132" s="12"/>
    </row>
    <row r="133" spans="2:34" ht="10.25" customHeight="1" x14ac:dyDescent="0.55000000000000004">
      <c r="B133" s="13" t="s">
        <v>1017</v>
      </c>
      <c r="C133" s="74">
        <v>124</v>
      </c>
      <c r="D133" s="14" t="s">
        <v>77</v>
      </c>
      <c r="E133" s="14" t="s">
        <v>464</v>
      </c>
      <c r="F133" s="14" t="s">
        <v>710</v>
      </c>
      <c r="G133" s="11" t="s">
        <v>190</v>
      </c>
      <c r="H133" s="11" t="s">
        <v>190</v>
      </c>
      <c r="I133" s="11" t="s">
        <v>190</v>
      </c>
      <c r="J133" s="11" t="s">
        <v>190</v>
      </c>
      <c r="K133" s="11" t="s">
        <v>190</v>
      </c>
      <c r="L133" s="11" t="s">
        <v>190</v>
      </c>
      <c r="M133" s="11" t="s">
        <v>190</v>
      </c>
      <c r="N133" s="11" t="s">
        <v>190</v>
      </c>
      <c r="O133" s="11" t="s">
        <v>190</v>
      </c>
      <c r="P133" s="11" t="s">
        <v>190</v>
      </c>
      <c r="Q133" s="11" t="s">
        <v>190</v>
      </c>
      <c r="R133" s="11" t="s">
        <v>190</v>
      </c>
      <c r="S133" s="11" t="s">
        <v>190</v>
      </c>
      <c r="T133" s="11" t="s">
        <v>190</v>
      </c>
      <c r="U133" s="11" t="s">
        <v>190</v>
      </c>
      <c r="V133" s="11" t="s">
        <v>190</v>
      </c>
      <c r="W133" s="11" t="s">
        <v>190</v>
      </c>
      <c r="X133" s="11" t="s">
        <v>190</v>
      </c>
      <c r="Y133" s="150" t="s">
        <v>222</v>
      </c>
      <c r="Z133" s="11" t="s">
        <v>190</v>
      </c>
      <c r="AA133" s="15"/>
      <c r="AB133" s="11" t="s">
        <v>190</v>
      </c>
      <c r="AC133" s="12"/>
      <c r="AD133" s="12"/>
      <c r="AE133" s="13" t="s">
        <v>1044</v>
      </c>
      <c r="AF133" s="14" t="s">
        <v>994</v>
      </c>
      <c r="AG133" s="12"/>
      <c r="AH133" s="12"/>
    </row>
    <row r="134" spans="2:34" ht="10.25" customHeight="1" x14ac:dyDescent="0.55000000000000004">
      <c r="B134" s="13" t="s">
        <v>78</v>
      </c>
      <c r="C134" s="74">
        <v>125</v>
      </c>
      <c r="D134" s="14" t="s">
        <v>78</v>
      </c>
      <c r="E134" s="14" t="s">
        <v>709</v>
      </c>
      <c r="F134" s="14" t="s">
        <v>467</v>
      </c>
      <c r="G134" s="14" t="s">
        <v>715</v>
      </c>
      <c r="H134" s="11" t="s">
        <v>190</v>
      </c>
      <c r="I134" s="11" t="s">
        <v>190</v>
      </c>
      <c r="J134" s="11" t="s">
        <v>190</v>
      </c>
      <c r="K134" s="11" t="s">
        <v>190</v>
      </c>
      <c r="L134" s="11" t="s">
        <v>190</v>
      </c>
      <c r="M134" s="149" t="s">
        <v>748</v>
      </c>
      <c r="N134" s="11" t="s">
        <v>190</v>
      </c>
      <c r="O134" s="11" t="s">
        <v>190</v>
      </c>
      <c r="P134" s="11" t="s">
        <v>190</v>
      </c>
      <c r="Q134" s="11" t="s">
        <v>190</v>
      </c>
      <c r="R134" s="11" t="s">
        <v>190</v>
      </c>
      <c r="S134" s="11" t="s">
        <v>190</v>
      </c>
      <c r="T134" s="11" t="s">
        <v>190</v>
      </c>
      <c r="U134" s="11" t="s">
        <v>190</v>
      </c>
      <c r="V134" s="11" t="s">
        <v>190</v>
      </c>
      <c r="W134" s="11" t="s">
        <v>190</v>
      </c>
      <c r="X134" s="11" t="s">
        <v>190</v>
      </c>
      <c r="Y134" s="150" t="s">
        <v>223</v>
      </c>
      <c r="Z134" s="11" t="s">
        <v>190</v>
      </c>
      <c r="AA134" s="15"/>
      <c r="AB134" s="11" t="s">
        <v>190</v>
      </c>
      <c r="AC134" s="12" t="s">
        <v>1182</v>
      </c>
      <c r="AD134" s="12"/>
      <c r="AE134" s="13" t="s">
        <v>1044</v>
      </c>
      <c r="AF134" s="14" t="s">
        <v>994</v>
      </c>
      <c r="AG134" s="12"/>
      <c r="AH134" s="12"/>
    </row>
    <row r="135" spans="2:34" ht="10.25" customHeight="1" x14ac:dyDescent="0.55000000000000004">
      <c r="B135" s="13" t="s">
        <v>79</v>
      </c>
      <c r="C135" s="74">
        <v>126</v>
      </c>
      <c r="D135" s="14" t="s">
        <v>79</v>
      </c>
      <c r="E135" s="14" t="s">
        <v>469</v>
      </c>
      <c r="F135" s="14" t="s">
        <v>714</v>
      </c>
      <c r="G135" s="11" t="s">
        <v>190</v>
      </c>
      <c r="H135" s="11" t="s">
        <v>190</v>
      </c>
      <c r="I135" s="11" t="s">
        <v>190</v>
      </c>
      <c r="J135" s="11" t="s">
        <v>190</v>
      </c>
      <c r="K135" s="11" t="s">
        <v>190</v>
      </c>
      <c r="L135" s="11" t="s">
        <v>190</v>
      </c>
      <c r="M135" s="149" t="s">
        <v>749</v>
      </c>
      <c r="N135" s="11" t="s">
        <v>190</v>
      </c>
      <c r="O135" s="11" t="s">
        <v>190</v>
      </c>
      <c r="P135" s="11" t="s">
        <v>190</v>
      </c>
      <c r="Q135" s="11" t="s">
        <v>190</v>
      </c>
      <c r="R135" s="11" t="s">
        <v>190</v>
      </c>
      <c r="S135" s="11" t="s">
        <v>190</v>
      </c>
      <c r="T135" s="11" t="s">
        <v>190</v>
      </c>
      <c r="U135" s="11" t="s">
        <v>190</v>
      </c>
      <c r="V135" s="11" t="s">
        <v>190</v>
      </c>
      <c r="W135" s="11" t="s">
        <v>190</v>
      </c>
      <c r="X135" s="11" t="s">
        <v>190</v>
      </c>
      <c r="Y135" s="150" t="s">
        <v>224</v>
      </c>
      <c r="Z135" s="11" t="s">
        <v>190</v>
      </c>
      <c r="AA135" s="15"/>
      <c r="AB135" s="11" t="s">
        <v>190</v>
      </c>
      <c r="AC135" s="12" t="s">
        <v>1182</v>
      </c>
      <c r="AD135" s="12"/>
      <c r="AE135" s="13" t="s">
        <v>1044</v>
      </c>
      <c r="AF135" s="14" t="s">
        <v>994</v>
      </c>
      <c r="AG135" s="12"/>
      <c r="AH135" s="12"/>
    </row>
    <row r="136" spans="2:34" ht="10.25" customHeight="1" x14ac:dyDescent="0.55000000000000004">
      <c r="B136" s="13" t="s">
        <v>80</v>
      </c>
      <c r="C136" s="74">
        <v>127</v>
      </c>
      <c r="D136" s="14" t="s">
        <v>80</v>
      </c>
      <c r="E136" s="14" t="s">
        <v>713</v>
      </c>
      <c r="F136" s="14" t="s">
        <v>473</v>
      </c>
      <c r="G136" s="14" t="s">
        <v>670</v>
      </c>
      <c r="H136" s="11" t="s">
        <v>190</v>
      </c>
      <c r="I136" s="11" t="s">
        <v>190</v>
      </c>
      <c r="J136" s="11" t="s">
        <v>190</v>
      </c>
      <c r="K136" s="11" t="s">
        <v>190</v>
      </c>
      <c r="L136" s="11" t="s">
        <v>190</v>
      </c>
      <c r="M136" s="14" t="s">
        <v>750</v>
      </c>
      <c r="N136" s="11" t="s">
        <v>190</v>
      </c>
      <c r="O136" s="11" t="s">
        <v>190</v>
      </c>
      <c r="P136" s="11" t="s">
        <v>190</v>
      </c>
      <c r="Q136" s="11" t="s">
        <v>190</v>
      </c>
      <c r="R136" s="11" t="s">
        <v>190</v>
      </c>
      <c r="S136" s="11" t="s">
        <v>190</v>
      </c>
      <c r="T136" s="11" t="s">
        <v>190</v>
      </c>
      <c r="U136" s="11" t="s">
        <v>190</v>
      </c>
      <c r="V136" s="11" t="s">
        <v>190</v>
      </c>
      <c r="W136" s="11" t="s">
        <v>190</v>
      </c>
      <c r="X136" s="11" t="s">
        <v>190</v>
      </c>
      <c r="Y136" s="150" t="s">
        <v>225</v>
      </c>
      <c r="Z136" s="11" t="s">
        <v>190</v>
      </c>
      <c r="AA136" s="15"/>
      <c r="AB136" s="11" t="s">
        <v>190</v>
      </c>
      <c r="AC136" s="12" t="s">
        <v>1182</v>
      </c>
      <c r="AD136" s="12"/>
      <c r="AE136" s="13" t="s">
        <v>1044</v>
      </c>
      <c r="AF136" s="14" t="s">
        <v>994</v>
      </c>
      <c r="AG136" s="12"/>
      <c r="AH136" s="12"/>
    </row>
    <row r="137" spans="2:34" ht="10.25" customHeight="1" x14ac:dyDescent="0.55000000000000004">
      <c r="B137" s="13" t="s">
        <v>82</v>
      </c>
      <c r="C137" s="52">
        <v>128</v>
      </c>
      <c r="D137" s="14" t="s">
        <v>82</v>
      </c>
      <c r="E137" s="14" t="s">
        <v>474</v>
      </c>
      <c r="F137" s="14" t="s">
        <v>404</v>
      </c>
      <c r="G137" s="11" t="s">
        <v>190</v>
      </c>
      <c r="H137" s="11" t="s">
        <v>190</v>
      </c>
      <c r="I137" s="11" t="s">
        <v>190</v>
      </c>
      <c r="J137" s="11" t="s">
        <v>190</v>
      </c>
      <c r="K137" s="11" t="s">
        <v>190</v>
      </c>
      <c r="L137" s="11" t="s">
        <v>190</v>
      </c>
      <c r="M137" s="14" t="s">
        <v>751</v>
      </c>
      <c r="N137" s="11" t="s">
        <v>190</v>
      </c>
      <c r="O137" s="11" t="s">
        <v>190</v>
      </c>
      <c r="P137" s="11" t="s">
        <v>190</v>
      </c>
      <c r="Q137" s="14" t="s">
        <v>99</v>
      </c>
      <c r="R137" s="11" t="s">
        <v>190</v>
      </c>
      <c r="S137" s="11" t="s">
        <v>190</v>
      </c>
      <c r="T137" s="11" t="s">
        <v>190</v>
      </c>
      <c r="U137" s="11" t="s">
        <v>190</v>
      </c>
      <c r="V137" s="11" t="s">
        <v>190</v>
      </c>
      <c r="W137" s="11" t="s">
        <v>190</v>
      </c>
      <c r="X137" s="11" t="s">
        <v>190</v>
      </c>
      <c r="Y137" s="150" t="s">
        <v>226</v>
      </c>
      <c r="Z137" s="11" t="s">
        <v>190</v>
      </c>
      <c r="AA137" s="15"/>
      <c r="AB137" s="11" t="s">
        <v>190</v>
      </c>
      <c r="AC137" s="12" t="s">
        <v>1182</v>
      </c>
      <c r="AD137" s="12"/>
      <c r="AE137" s="13" t="s">
        <v>1044</v>
      </c>
      <c r="AF137" s="14" t="s">
        <v>994</v>
      </c>
      <c r="AG137" s="12"/>
      <c r="AH137" s="12"/>
    </row>
    <row r="138" spans="2:34" ht="10.25" customHeight="1" x14ac:dyDescent="0.55000000000000004">
      <c r="B138" s="13" t="s">
        <v>83</v>
      </c>
      <c r="C138" s="52">
        <v>129</v>
      </c>
      <c r="D138" s="14" t="s">
        <v>83</v>
      </c>
      <c r="E138" s="14" t="s">
        <v>419</v>
      </c>
      <c r="F138" s="14" t="s">
        <v>476</v>
      </c>
      <c r="G138" s="11" t="s">
        <v>190</v>
      </c>
      <c r="H138" s="11" t="s">
        <v>190</v>
      </c>
      <c r="I138" s="11" t="s">
        <v>190</v>
      </c>
      <c r="J138" s="11" t="s">
        <v>190</v>
      </c>
      <c r="K138" s="11" t="s">
        <v>190</v>
      </c>
      <c r="L138" s="11" t="s">
        <v>190</v>
      </c>
      <c r="M138" s="14" t="s">
        <v>752</v>
      </c>
      <c r="N138" s="11" t="s">
        <v>190</v>
      </c>
      <c r="O138" s="11" t="s">
        <v>190</v>
      </c>
      <c r="P138" s="11" t="s">
        <v>190</v>
      </c>
      <c r="Q138" s="14" t="s">
        <v>101</v>
      </c>
      <c r="R138" s="11" t="s">
        <v>190</v>
      </c>
      <c r="S138" s="11" t="s">
        <v>190</v>
      </c>
      <c r="T138" s="11" t="s">
        <v>190</v>
      </c>
      <c r="U138" s="11" t="s">
        <v>190</v>
      </c>
      <c r="V138" s="11" t="s">
        <v>190</v>
      </c>
      <c r="W138" s="11" t="s">
        <v>190</v>
      </c>
      <c r="X138" s="11" t="s">
        <v>190</v>
      </c>
      <c r="Y138" s="150" t="s">
        <v>227</v>
      </c>
      <c r="Z138" s="11" t="s">
        <v>190</v>
      </c>
      <c r="AA138" s="15"/>
      <c r="AB138" s="11" t="s">
        <v>190</v>
      </c>
      <c r="AC138" s="12" t="s">
        <v>1182</v>
      </c>
      <c r="AD138" s="12"/>
      <c r="AE138" s="13" t="s">
        <v>1044</v>
      </c>
      <c r="AF138" s="14" t="s">
        <v>994</v>
      </c>
      <c r="AG138" s="12"/>
      <c r="AH138" s="12"/>
    </row>
    <row r="139" spans="2:34" ht="10.25" customHeight="1" x14ac:dyDescent="0.55000000000000004">
      <c r="B139" s="13" t="s">
        <v>84</v>
      </c>
      <c r="C139" s="52">
        <v>130</v>
      </c>
      <c r="D139" s="14" t="s">
        <v>84</v>
      </c>
      <c r="E139" s="14" t="s">
        <v>477</v>
      </c>
      <c r="F139" s="14" t="s">
        <v>426</v>
      </c>
      <c r="G139" s="11" t="s">
        <v>190</v>
      </c>
      <c r="H139" s="11" t="s">
        <v>190</v>
      </c>
      <c r="I139" s="11" t="s">
        <v>190</v>
      </c>
      <c r="J139" s="11" t="s">
        <v>190</v>
      </c>
      <c r="K139" s="11" t="s">
        <v>190</v>
      </c>
      <c r="L139" s="11" t="s">
        <v>190</v>
      </c>
      <c r="M139" s="14" t="s">
        <v>753</v>
      </c>
      <c r="N139" s="11" t="s">
        <v>190</v>
      </c>
      <c r="O139" s="11" t="s">
        <v>190</v>
      </c>
      <c r="P139" s="11" t="s">
        <v>190</v>
      </c>
      <c r="Q139" s="14" t="s">
        <v>95</v>
      </c>
      <c r="R139" s="11" t="s">
        <v>190</v>
      </c>
      <c r="S139" s="11" t="s">
        <v>190</v>
      </c>
      <c r="T139" s="11" t="s">
        <v>190</v>
      </c>
      <c r="U139" s="11" t="s">
        <v>190</v>
      </c>
      <c r="V139" s="11" t="s">
        <v>190</v>
      </c>
      <c r="W139" s="11" t="s">
        <v>190</v>
      </c>
      <c r="X139" s="11" t="s">
        <v>190</v>
      </c>
      <c r="Y139" s="150" t="s">
        <v>228</v>
      </c>
      <c r="Z139" s="11" t="s">
        <v>190</v>
      </c>
      <c r="AA139" s="15"/>
      <c r="AB139" s="11" t="s">
        <v>190</v>
      </c>
      <c r="AC139" s="12" t="s">
        <v>1182</v>
      </c>
      <c r="AD139" s="12"/>
      <c r="AE139" s="13" t="s">
        <v>1044</v>
      </c>
      <c r="AF139" s="14" t="s">
        <v>994</v>
      </c>
      <c r="AG139" s="12"/>
      <c r="AH139" s="12"/>
    </row>
    <row r="140" spans="2:34" ht="10.25" customHeight="1" x14ac:dyDescent="0.55000000000000004">
      <c r="B140" s="13" t="s">
        <v>86</v>
      </c>
      <c r="C140" s="52">
        <v>131</v>
      </c>
      <c r="D140" s="14" t="s">
        <v>86</v>
      </c>
      <c r="E140" s="14" t="s">
        <v>414</v>
      </c>
      <c r="F140" s="14" t="s">
        <v>478</v>
      </c>
      <c r="G140" s="11" t="s">
        <v>190</v>
      </c>
      <c r="H140" s="11" t="s">
        <v>190</v>
      </c>
      <c r="I140" s="11" t="s">
        <v>190</v>
      </c>
      <c r="J140" s="11" t="s">
        <v>190</v>
      </c>
      <c r="K140" s="11" t="s">
        <v>190</v>
      </c>
      <c r="L140" s="11" t="s">
        <v>190</v>
      </c>
      <c r="M140" s="14" t="s">
        <v>754</v>
      </c>
      <c r="N140" s="11" t="s">
        <v>190</v>
      </c>
      <c r="O140" s="11" t="s">
        <v>190</v>
      </c>
      <c r="P140" s="11" t="s">
        <v>190</v>
      </c>
      <c r="Q140" s="14" t="s">
        <v>97</v>
      </c>
      <c r="R140" s="11" t="s">
        <v>190</v>
      </c>
      <c r="S140" s="11" t="s">
        <v>190</v>
      </c>
      <c r="T140" s="11" t="s">
        <v>190</v>
      </c>
      <c r="U140" s="11" t="s">
        <v>190</v>
      </c>
      <c r="V140" s="11" t="s">
        <v>190</v>
      </c>
      <c r="W140" s="11" t="s">
        <v>190</v>
      </c>
      <c r="X140" s="11" t="s">
        <v>190</v>
      </c>
      <c r="Y140" s="150" t="s">
        <v>229</v>
      </c>
      <c r="Z140" s="11" t="s">
        <v>190</v>
      </c>
      <c r="AA140" s="15"/>
      <c r="AB140" s="11" t="s">
        <v>190</v>
      </c>
      <c r="AC140" s="12" t="s">
        <v>1182</v>
      </c>
      <c r="AD140" s="12"/>
      <c r="AE140" s="13" t="s">
        <v>1044</v>
      </c>
      <c r="AF140" s="14" t="s">
        <v>994</v>
      </c>
      <c r="AG140" s="12"/>
      <c r="AH140" s="12"/>
    </row>
    <row r="141" spans="2:34" ht="10.25" customHeight="1" x14ac:dyDescent="0.55000000000000004">
      <c r="B141" s="16" t="s">
        <v>994</v>
      </c>
      <c r="C141" s="10">
        <v>132</v>
      </c>
      <c r="D141" s="11" t="s">
        <v>190</v>
      </c>
      <c r="E141" s="11" t="s">
        <v>190</v>
      </c>
      <c r="F141" s="11" t="s">
        <v>190</v>
      </c>
      <c r="G141" s="11" t="s">
        <v>190</v>
      </c>
      <c r="H141" s="11" t="s">
        <v>190</v>
      </c>
      <c r="I141" s="11" t="s">
        <v>190</v>
      </c>
      <c r="J141" s="11" t="s">
        <v>190</v>
      </c>
      <c r="K141" s="11" t="s">
        <v>190</v>
      </c>
      <c r="L141" s="11" t="s">
        <v>190</v>
      </c>
      <c r="M141" s="11" t="s">
        <v>190</v>
      </c>
      <c r="N141" s="11" t="s">
        <v>190</v>
      </c>
      <c r="O141" s="11" t="s">
        <v>190</v>
      </c>
      <c r="P141" s="11" t="s">
        <v>190</v>
      </c>
      <c r="Q141" s="11" t="s">
        <v>190</v>
      </c>
      <c r="R141" s="11" t="s">
        <v>190</v>
      </c>
      <c r="S141" s="11" t="s">
        <v>190</v>
      </c>
      <c r="T141" s="11" t="s">
        <v>190</v>
      </c>
      <c r="U141" s="11" t="s">
        <v>190</v>
      </c>
      <c r="V141" s="11" t="s">
        <v>190</v>
      </c>
      <c r="W141" s="11" t="s">
        <v>190</v>
      </c>
      <c r="X141" s="11" t="s">
        <v>190</v>
      </c>
      <c r="Y141" s="11" t="s">
        <v>190</v>
      </c>
      <c r="Z141" s="11" t="s">
        <v>190</v>
      </c>
      <c r="AA141" s="16" t="s">
        <v>994</v>
      </c>
      <c r="AB141" s="11" t="s">
        <v>190</v>
      </c>
      <c r="AC141" s="12"/>
      <c r="AD141" s="12" t="s">
        <v>1040</v>
      </c>
      <c r="AE141" s="13" t="s">
        <v>360</v>
      </c>
      <c r="AF141" s="14" t="s">
        <v>360</v>
      </c>
      <c r="AG141" s="12"/>
      <c r="AH141" s="12"/>
    </row>
    <row r="142" spans="2:34" ht="10.25" customHeight="1" x14ac:dyDescent="0.55000000000000004">
      <c r="B142" s="9" t="s">
        <v>993</v>
      </c>
      <c r="C142" s="10">
        <v>133</v>
      </c>
      <c r="D142" s="11" t="s">
        <v>190</v>
      </c>
      <c r="E142" s="11" t="s">
        <v>190</v>
      </c>
      <c r="F142" s="11" t="s">
        <v>190</v>
      </c>
      <c r="G142" s="11" t="s">
        <v>190</v>
      </c>
      <c r="H142" s="11" t="s">
        <v>190</v>
      </c>
      <c r="I142" s="11" t="s">
        <v>190</v>
      </c>
      <c r="J142" s="11" t="s">
        <v>190</v>
      </c>
      <c r="K142" s="11" t="s">
        <v>190</v>
      </c>
      <c r="L142" s="11" t="s">
        <v>190</v>
      </c>
      <c r="M142" s="11" t="s">
        <v>190</v>
      </c>
      <c r="N142" s="11" t="s">
        <v>190</v>
      </c>
      <c r="O142" s="11" t="s">
        <v>190</v>
      </c>
      <c r="P142" s="11" t="s">
        <v>190</v>
      </c>
      <c r="Q142" s="11" t="s">
        <v>190</v>
      </c>
      <c r="R142" s="11" t="s">
        <v>190</v>
      </c>
      <c r="S142" s="11" t="s">
        <v>190</v>
      </c>
      <c r="T142" s="11" t="s">
        <v>190</v>
      </c>
      <c r="U142" s="11" t="s">
        <v>190</v>
      </c>
      <c r="V142" s="11" t="s">
        <v>190</v>
      </c>
      <c r="W142" s="11" t="s">
        <v>190</v>
      </c>
      <c r="X142" s="11" t="s">
        <v>190</v>
      </c>
      <c r="Y142" s="11" t="s">
        <v>190</v>
      </c>
      <c r="Z142" s="11" t="s">
        <v>190</v>
      </c>
      <c r="AA142" s="9" t="s">
        <v>993</v>
      </c>
      <c r="AB142" s="11" t="s">
        <v>190</v>
      </c>
      <c r="AC142" s="12"/>
      <c r="AD142" s="12" t="s">
        <v>1039</v>
      </c>
      <c r="AE142" s="13" t="s">
        <v>360</v>
      </c>
      <c r="AF142" s="14" t="s">
        <v>360</v>
      </c>
      <c r="AG142" s="12"/>
      <c r="AH142" s="12"/>
    </row>
    <row r="143" spans="2:34" ht="10.25" customHeight="1" x14ac:dyDescent="0.55000000000000004">
      <c r="B143" s="14" t="s">
        <v>1087</v>
      </c>
      <c r="C143" s="52">
        <v>134</v>
      </c>
      <c r="D143" s="14" t="s">
        <v>88</v>
      </c>
      <c r="E143" s="14" t="s">
        <v>518</v>
      </c>
      <c r="F143" s="14" t="s">
        <v>420</v>
      </c>
      <c r="G143" s="11" t="s">
        <v>190</v>
      </c>
      <c r="H143" s="11" t="s">
        <v>190</v>
      </c>
      <c r="I143" s="11" t="s">
        <v>190</v>
      </c>
      <c r="J143" s="11" t="s">
        <v>190</v>
      </c>
      <c r="K143" s="11" t="s">
        <v>190</v>
      </c>
      <c r="L143" s="11" t="s">
        <v>190</v>
      </c>
      <c r="M143" s="14" t="s">
        <v>755</v>
      </c>
      <c r="N143" s="11" t="s">
        <v>190</v>
      </c>
      <c r="O143" s="11" t="s">
        <v>190</v>
      </c>
      <c r="P143" s="11" t="s">
        <v>190</v>
      </c>
      <c r="Q143" s="11" t="s">
        <v>190</v>
      </c>
      <c r="R143" s="11" t="s">
        <v>190</v>
      </c>
      <c r="S143" s="11" t="s">
        <v>190</v>
      </c>
      <c r="T143" s="11" t="s">
        <v>190</v>
      </c>
      <c r="U143" s="11" t="s">
        <v>190</v>
      </c>
      <c r="V143" s="11" t="s">
        <v>190</v>
      </c>
      <c r="W143" s="11" t="s">
        <v>190</v>
      </c>
      <c r="X143" s="11" t="s">
        <v>190</v>
      </c>
      <c r="Y143" s="150" t="s">
        <v>230</v>
      </c>
      <c r="Z143" s="11" t="s">
        <v>190</v>
      </c>
      <c r="AA143" s="15"/>
      <c r="AB143" s="19"/>
      <c r="AC143" s="12" t="s">
        <v>1182</v>
      </c>
      <c r="AD143" s="12"/>
      <c r="AE143" s="13" t="s">
        <v>1044</v>
      </c>
      <c r="AF143" s="14" t="s">
        <v>994</v>
      </c>
      <c r="AG143" s="12"/>
      <c r="AH143" s="12"/>
    </row>
    <row r="144" spans="2:34" ht="10.25" customHeight="1" x14ac:dyDescent="0.55000000000000004">
      <c r="B144" s="14" t="s">
        <v>89</v>
      </c>
      <c r="C144" s="52">
        <v>135</v>
      </c>
      <c r="D144" s="14" t="s">
        <v>89</v>
      </c>
      <c r="E144" s="14" t="s">
        <v>411</v>
      </c>
      <c r="F144" s="14" t="s">
        <v>522</v>
      </c>
      <c r="G144" s="11" t="s">
        <v>190</v>
      </c>
      <c r="H144" s="11" t="s">
        <v>190</v>
      </c>
      <c r="I144" s="11" t="s">
        <v>190</v>
      </c>
      <c r="J144" s="11" t="s">
        <v>190</v>
      </c>
      <c r="K144" s="11" t="s">
        <v>190</v>
      </c>
      <c r="L144" s="11" t="s">
        <v>190</v>
      </c>
      <c r="M144" s="14" t="s">
        <v>756</v>
      </c>
      <c r="N144" s="11" t="s">
        <v>190</v>
      </c>
      <c r="O144" s="11" t="s">
        <v>190</v>
      </c>
      <c r="P144" s="11" t="s">
        <v>190</v>
      </c>
      <c r="Q144" s="11" t="s">
        <v>190</v>
      </c>
      <c r="R144" s="11" t="s">
        <v>190</v>
      </c>
      <c r="S144" s="11" t="s">
        <v>190</v>
      </c>
      <c r="T144" s="11" t="s">
        <v>190</v>
      </c>
      <c r="U144" s="11" t="s">
        <v>190</v>
      </c>
      <c r="V144" s="11" t="s">
        <v>190</v>
      </c>
      <c r="W144" s="11" t="s">
        <v>190</v>
      </c>
      <c r="X144" s="11" t="s">
        <v>190</v>
      </c>
      <c r="Y144" s="150" t="s">
        <v>231</v>
      </c>
      <c r="Z144" s="11" t="s">
        <v>190</v>
      </c>
      <c r="AA144" s="15"/>
      <c r="AB144" s="19"/>
      <c r="AC144" s="12" t="s">
        <v>1182</v>
      </c>
      <c r="AD144" s="12"/>
      <c r="AE144" s="13" t="s">
        <v>1044</v>
      </c>
      <c r="AF144" s="14" t="s">
        <v>994</v>
      </c>
      <c r="AG144" s="12"/>
      <c r="AH144" s="12"/>
    </row>
    <row r="145" spans="2:34" ht="10.25" customHeight="1" x14ac:dyDescent="0.55000000000000004">
      <c r="B145" s="14" t="s">
        <v>90</v>
      </c>
      <c r="C145" s="52">
        <v>136</v>
      </c>
      <c r="D145" s="14" t="s">
        <v>90</v>
      </c>
      <c r="E145" s="14" t="s">
        <v>527</v>
      </c>
      <c r="F145" s="14" t="s">
        <v>415</v>
      </c>
      <c r="G145" s="11" t="s">
        <v>190</v>
      </c>
      <c r="H145" s="11" t="s">
        <v>190</v>
      </c>
      <c r="I145" s="11" t="s">
        <v>190</v>
      </c>
      <c r="J145" s="11" t="s">
        <v>190</v>
      </c>
      <c r="K145" s="11" t="s">
        <v>190</v>
      </c>
      <c r="L145" s="11" t="s">
        <v>190</v>
      </c>
      <c r="M145" s="14" t="s">
        <v>757</v>
      </c>
      <c r="N145" s="11" t="s">
        <v>190</v>
      </c>
      <c r="O145" s="11" t="s">
        <v>190</v>
      </c>
      <c r="P145" s="11" t="s">
        <v>190</v>
      </c>
      <c r="Q145" s="11" t="s">
        <v>190</v>
      </c>
      <c r="R145" s="11" t="s">
        <v>190</v>
      </c>
      <c r="S145" s="11" t="s">
        <v>190</v>
      </c>
      <c r="T145" s="11" t="s">
        <v>190</v>
      </c>
      <c r="U145" s="11" t="s">
        <v>190</v>
      </c>
      <c r="V145" s="11" t="s">
        <v>190</v>
      </c>
      <c r="W145" s="11" t="s">
        <v>190</v>
      </c>
      <c r="X145" s="11" t="s">
        <v>190</v>
      </c>
      <c r="Y145" s="150" t="s">
        <v>232</v>
      </c>
      <c r="Z145" s="11" t="s">
        <v>190</v>
      </c>
      <c r="AA145" s="15"/>
      <c r="AB145" s="19"/>
      <c r="AC145" s="12" t="s">
        <v>1182</v>
      </c>
      <c r="AD145" s="12"/>
      <c r="AE145" s="13" t="s">
        <v>1044</v>
      </c>
      <c r="AF145" s="14" t="s">
        <v>994</v>
      </c>
      <c r="AG145" s="12"/>
      <c r="AH145" s="12"/>
    </row>
    <row r="146" spans="2:34" ht="10.25" customHeight="1" x14ac:dyDescent="0.55000000000000004">
      <c r="B146" s="14" t="s">
        <v>91</v>
      </c>
      <c r="C146" s="52">
        <v>137</v>
      </c>
      <c r="D146" s="14" t="s">
        <v>91</v>
      </c>
      <c r="E146" s="14" t="s">
        <v>407</v>
      </c>
      <c r="F146" s="14" t="s">
        <v>532</v>
      </c>
      <c r="G146" s="11" t="s">
        <v>190</v>
      </c>
      <c r="H146" s="11" t="s">
        <v>190</v>
      </c>
      <c r="I146" s="11" t="s">
        <v>190</v>
      </c>
      <c r="J146" s="11" t="s">
        <v>190</v>
      </c>
      <c r="K146" s="11" t="s">
        <v>190</v>
      </c>
      <c r="L146" s="11" t="s">
        <v>190</v>
      </c>
      <c r="M146" s="14" t="s">
        <v>758</v>
      </c>
      <c r="N146" s="11" t="s">
        <v>190</v>
      </c>
      <c r="O146" s="11" t="s">
        <v>190</v>
      </c>
      <c r="P146" s="11" t="s">
        <v>190</v>
      </c>
      <c r="Q146" s="11" t="s">
        <v>190</v>
      </c>
      <c r="R146" s="11" t="s">
        <v>190</v>
      </c>
      <c r="S146" s="11" t="s">
        <v>190</v>
      </c>
      <c r="T146" s="11" t="s">
        <v>190</v>
      </c>
      <c r="U146" s="11" t="s">
        <v>190</v>
      </c>
      <c r="V146" s="11" t="s">
        <v>190</v>
      </c>
      <c r="W146" s="11" t="s">
        <v>190</v>
      </c>
      <c r="X146" s="11" t="s">
        <v>190</v>
      </c>
      <c r="Y146" s="150" t="s">
        <v>233</v>
      </c>
      <c r="Z146" s="11" t="s">
        <v>190</v>
      </c>
      <c r="AA146" s="15"/>
      <c r="AB146" s="19"/>
      <c r="AC146" s="12" t="s">
        <v>1182</v>
      </c>
      <c r="AD146" s="12"/>
      <c r="AE146" s="13" t="s">
        <v>1044</v>
      </c>
      <c r="AF146" s="14" t="s">
        <v>994</v>
      </c>
      <c r="AG146" s="12"/>
      <c r="AH146" s="12"/>
    </row>
    <row r="147" spans="2:34" ht="10.25" customHeight="1" x14ac:dyDescent="0.55000000000000004">
      <c r="B147" s="14" t="s">
        <v>92</v>
      </c>
      <c r="C147" s="52">
        <v>138</v>
      </c>
      <c r="D147" s="14" t="s">
        <v>92</v>
      </c>
      <c r="E147" s="14" t="s">
        <v>535</v>
      </c>
      <c r="F147" s="14" t="s">
        <v>412</v>
      </c>
      <c r="G147" s="11" t="s">
        <v>190</v>
      </c>
      <c r="H147" s="11" t="s">
        <v>190</v>
      </c>
      <c r="I147" s="11" t="s">
        <v>190</v>
      </c>
      <c r="J147" s="11" t="s">
        <v>190</v>
      </c>
      <c r="K147" s="11" t="s">
        <v>190</v>
      </c>
      <c r="L147" s="11" t="s">
        <v>190</v>
      </c>
      <c r="M147" s="14" t="s">
        <v>759</v>
      </c>
      <c r="N147" s="11" t="s">
        <v>190</v>
      </c>
      <c r="O147" s="11" t="s">
        <v>190</v>
      </c>
      <c r="P147" s="11" t="s">
        <v>190</v>
      </c>
      <c r="Q147" s="11" t="s">
        <v>190</v>
      </c>
      <c r="R147" s="11" t="s">
        <v>190</v>
      </c>
      <c r="S147" s="11" t="s">
        <v>190</v>
      </c>
      <c r="T147" s="11" t="s">
        <v>190</v>
      </c>
      <c r="U147" s="11" t="s">
        <v>190</v>
      </c>
      <c r="V147" s="11" t="s">
        <v>190</v>
      </c>
      <c r="W147" s="11" t="s">
        <v>190</v>
      </c>
      <c r="X147" s="11" t="s">
        <v>190</v>
      </c>
      <c r="Y147" s="150" t="s">
        <v>234</v>
      </c>
      <c r="Z147" s="11" t="s">
        <v>190</v>
      </c>
      <c r="AA147" s="15"/>
      <c r="AB147" s="19"/>
      <c r="AC147" s="12" t="s">
        <v>1182</v>
      </c>
      <c r="AD147" s="12"/>
      <c r="AE147" s="13" t="s">
        <v>1044</v>
      </c>
      <c r="AF147" s="14" t="s">
        <v>994</v>
      </c>
      <c r="AG147" s="12"/>
      <c r="AH147" s="12"/>
    </row>
    <row r="148" spans="2:34" ht="10.25" customHeight="1" x14ac:dyDescent="0.55000000000000004">
      <c r="B148" s="14" t="s">
        <v>93</v>
      </c>
      <c r="C148" s="52">
        <v>139</v>
      </c>
      <c r="D148" s="14" t="s">
        <v>93</v>
      </c>
      <c r="E148" s="14" t="s">
        <v>403</v>
      </c>
      <c r="F148" s="14" t="s">
        <v>537</v>
      </c>
      <c r="G148" s="11" t="s">
        <v>190</v>
      </c>
      <c r="H148" s="11" t="s">
        <v>190</v>
      </c>
      <c r="I148" s="11" t="s">
        <v>190</v>
      </c>
      <c r="J148" s="11" t="s">
        <v>190</v>
      </c>
      <c r="K148" s="11" t="s">
        <v>190</v>
      </c>
      <c r="L148" s="11" t="s">
        <v>190</v>
      </c>
      <c r="M148" s="14" t="s">
        <v>760</v>
      </c>
      <c r="N148" s="11" t="s">
        <v>190</v>
      </c>
      <c r="O148" s="11" t="s">
        <v>190</v>
      </c>
      <c r="P148" s="11" t="s">
        <v>190</v>
      </c>
      <c r="Q148" s="11" t="s">
        <v>190</v>
      </c>
      <c r="R148" s="11" t="s">
        <v>190</v>
      </c>
      <c r="S148" s="11" t="s">
        <v>190</v>
      </c>
      <c r="T148" s="11" t="s">
        <v>190</v>
      </c>
      <c r="U148" s="11" t="s">
        <v>190</v>
      </c>
      <c r="V148" s="11" t="s">
        <v>190</v>
      </c>
      <c r="W148" s="11" t="s">
        <v>190</v>
      </c>
      <c r="X148" s="11" t="s">
        <v>190</v>
      </c>
      <c r="Y148" s="150" t="s">
        <v>235</v>
      </c>
      <c r="Z148" s="11" t="s">
        <v>190</v>
      </c>
      <c r="AA148" s="15"/>
      <c r="AB148" s="19"/>
      <c r="AC148" s="12" t="s">
        <v>1182</v>
      </c>
      <c r="AD148" s="12"/>
      <c r="AE148" s="13" t="s">
        <v>1044</v>
      </c>
      <c r="AF148" s="14" t="s">
        <v>994</v>
      </c>
      <c r="AG148" s="12"/>
      <c r="AH148" s="12"/>
    </row>
    <row r="149" spans="2:34" ht="10.25" customHeight="1" x14ac:dyDescent="0.55000000000000004">
      <c r="B149" s="14" t="s">
        <v>94</v>
      </c>
      <c r="C149" s="52">
        <v>140</v>
      </c>
      <c r="D149" s="14" t="s">
        <v>94</v>
      </c>
      <c r="E149" s="14" t="s">
        <v>538</v>
      </c>
      <c r="F149" s="14" t="s">
        <v>408</v>
      </c>
      <c r="G149" s="11" t="s">
        <v>190</v>
      </c>
      <c r="H149" s="11" t="s">
        <v>190</v>
      </c>
      <c r="I149" s="11" t="s">
        <v>190</v>
      </c>
      <c r="J149" s="11" t="s">
        <v>190</v>
      </c>
      <c r="K149" s="11" t="s">
        <v>190</v>
      </c>
      <c r="L149" s="11" t="s">
        <v>190</v>
      </c>
      <c r="M149" s="149" t="s">
        <v>761</v>
      </c>
      <c r="N149" s="11" t="s">
        <v>190</v>
      </c>
      <c r="O149" s="11" t="s">
        <v>190</v>
      </c>
      <c r="P149" s="11" t="s">
        <v>190</v>
      </c>
      <c r="Q149" s="11" t="s">
        <v>190</v>
      </c>
      <c r="R149" s="11" t="s">
        <v>190</v>
      </c>
      <c r="S149" s="11" t="s">
        <v>190</v>
      </c>
      <c r="T149" s="11" t="s">
        <v>190</v>
      </c>
      <c r="U149" s="11" t="s">
        <v>190</v>
      </c>
      <c r="V149" s="11" t="s">
        <v>190</v>
      </c>
      <c r="W149" s="11" t="s">
        <v>190</v>
      </c>
      <c r="X149" s="11" t="s">
        <v>190</v>
      </c>
      <c r="Y149" s="150" t="s">
        <v>236</v>
      </c>
      <c r="Z149" s="11" t="s">
        <v>190</v>
      </c>
      <c r="AA149" s="15"/>
      <c r="AB149" s="19"/>
      <c r="AC149" s="12" t="s">
        <v>1182</v>
      </c>
      <c r="AD149" s="12"/>
      <c r="AE149" s="13" t="s">
        <v>1044</v>
      </c>
      <c r="AF149" s="14" t="s">
        <v>994</v>
      </c>
      <c r="AG149" s="12"/>
      <c r="AH149" s="12"/>
    </row>
    <row r="150" spans="2:34" ht="10.25" customHeight="1" x14ac:dyDescent="0.55000000000000004">
      <c r="B150" s="14" t="s">
        <v>96</v>
      </c>
      <c r="C150" s="52">
        <v>141</v>
      </c>
      <c r="D150" s="14" t="s">
        <v>96</v>
      </c>
      <c r="E150" s="14" t="s">
        <v>398</v>
      </c>
      <c r="F150" s="14" t="s">
        <v>539</v>
      </c>
      <c r="G150" s="11" t="s">
        <v>190</v>
      </c>
      <c r="H150" s="11" t="s">
        <v>190</v>
      </c>
      <c r="I150" s="11" t="s">
        <v>190</v>
      </c>
      <c r="J150" s="11" t="s">
        <v>190</v>
      </c>
      <c r="K150" s="11" t="s">
        <v>190</v>
      </c>
      <c r="L150" s="11" t="s">
        <v>190</v>
      </c>
      <c r="M150" s="149" t="s">
        <v>762</v>
      </c>
      <c r="N150" s="11" t="s">
        <v>190</v>
      </c>
      <c r="O150" s="11" t="s">
        <v>190</v>
      </c>
      <c r="P150" s="11" t="s">
        <v>190</v>
      </c>
      <c r="Q150" s="11" t="s">
        <v>190</v>
      </c>
      <c r="R150" s="11" t="s">
        <v>190</v>
      </c>
      <c r="S150" s="11" t="s">
        <v>190</v>
      </c>
      <c r="T150" s="11" t="s">
        <v>190</v>
      </c>
      <c r="U150" s="11" t="s">
        <v>190</v>
      </c>
      <c r="V150" s="11" t="s">
        <v>190</v>
      </c>
      <c r="W150" s="11" t="s">
        <v>190</v>
      </c>
      <c r="X150" s="11" t="s">
        <v>190</v>
      </c>
      <c r="Y150" s="150" t="s">
        <v>237</v>
      </c>
      <c r="Z150" s="11" t="s">
        <v>190</v>
      </c>
      <c r="AA150" s="15"/>
      <c r="AB150" s="19"/>
      <c r="AC150" s="12" t="s">
        <v>1182</v>
      </c>
      <c r="AD150" s="12"/>
      <c r="AE150" s="13" t="s">
        <v>1044</v>
      </c>
      <c r="AF150" s="14" t="s">
        <v>994</v>
      </c>
      <c r="AG150" s="12"/>
      <c r="AH150" s="12"/>
    </row>
    <row r="151" spans="2:34" ht="10.25" customHeight="1" x14ac:dyDescent="0.55000000000000004">
      <c r="B151" s="16" t="s">
        <v>994</v>
      </c>
      <c r="C151" s="10">
        <v>142</v>
      </c>
      <c r="D151" s="11" t="s">
        <v>190</v>
      </c>
      <c r="E151" s="11" t="s">
        <v>190</v>
      </c>
      <c r="F151" s="11" t="s">
        <v>190</v>
      </c>
      <c r="G151" s="11" t="s">
        <v>190</v>
      </c>
      <c r="H151" s="11" t="s">
        <v>190</v>
      </c>
      <c r="I151" s="11" t="s">
        <v>190</v>
      </c>
      <c r="J151" s="11" t="s">
        <v>190</v>
      </c>
      <c r="K151" s="11" t="s">
        <v>190</v>
      </c>
      <c r="L151" s="11" t="s">
        <v>190</v>
      </c>
      <c r="M151" s="11" t="s">
        <v>190</v>
      </c>
      <c r="N151" s="11" t="s">
        <v>190</v>
      </c>
      <c r="O151" s="11" t="s">
        <v>190</v>
      </c>
      <c r="P151" s="11" t="s">
        <v>190</v>
      </c>
      <c r="Q151" s="11" t="s">
        <v>190</v>
      </c>
      <c r="R151" s="11" t="s">
        <v>190</v>
      </c>
      <c r="S151" s="11" t="s">
        <v>190</v>
      </c>
      <c r="T151" s="11" t="s">
        <v>190</v>
      </c>
      <c r="U151" s="11" t="s">
        <v>190</v>
      </c>
      <c r="V151" s="11" t="s">
        <v>190</v>
      </c>
      <c r="W151" s="11" t="s">
        <v>190</v>
      </c>
      <c r="X151" s="11" t="s">
        <v>190</v>
      </c>
      <c r="Y151" s="11" t="s">
        <v>190</v>
      </c>
      <c r="Z151" s="11" t="s">
        <v>190</v>
      </c>
      <c r="AA151" s="16" t="s">
        <v>994</v>
      </c>
      <c r="AB151" s="11" t="s">
        <v>190</v>
      </c>
      <c r="AC151" s="12"/>
      <c r="AD151" s="12" t="s">
        <v>1039</v>
      </c>
      <c r="AE151" s="33" t="s">
        <v>360</v>
      </c>
      <c r="AF151" s="33" t="s">
        <v>360</v>
      </c>
      <c r="AG151" s="12"/>
      <c r="AH151" s="12"/>
    </row>
    <row r="152" spans="2:34" ht="10.25" customHeight="1" x14ac:dyDescent="0.55000000000000004">
      <c r="B152" s="9" t="s">
        <v>993</v>
      </c>
      <c r="C152" s="10">
        <v>143</v>
      </c>
      <c r="D152" s="11" t="s">
        <v>190</v>
      </c>
      <c r="E152" s="11" t="s">
        <v>190</v>
      </c>
      <c r="F152" s="11" t="s">
        <v>190</v>
      </c>
      <c r="G152" s="11" t="s">
        <v>190</v>
      </c>
      <c r="H152" s="11" t="s">
        <v>190</v>
      </c>
      <c r="I152" s="11" t="s">
        <v>190</v>
      </c>
      <c r="J152" s="11" t="s">
        <v>190</v>
      </c>
      <c r="K152" s="11" t="s">
        <v>190</v>
      </c>
      <c r="L152" s="11" t="s">
        <v>190</v>
      </c>
      <c r="M152" s="11" t="s">
        <v>190</v>
      </c>
      <c r="N152" s="11" t="s">
        <v>190</v>
      </c>
      <c r="O152" s="11" t="s">
        <v>190</v>
      </c>
      <c r="P152" s="11" t="s">
        <v>190</v>
      </c>
      <c r="Q152" s="11" t="s">
        <v>190</v>
      </c>
      <c r="R152" s="11" t="s">
        <v>190</v>
      </c>
      <c r="S152" s="11" t="s">
        <v>190</v>
      </c>
      <c r="T152" s="11" t="s">
        <v>190</v>
      </c>
      <c r="U152" s="11" t="s">
        <v>190</v>
      </c>
      <c r="V152" s="11" t="s">
        <v>190</v>
      </c>
      <c r="W152" s="11" t="s">
        <v>190</v>
      </c>
      <c r="X152" s="11" t="s">
        <v>190</v>
      </c>
      <c r="Y152" s="11" t="s">
        <v>190</v>
      </c>
      <c r="Z152" s="11" t="s">
        <v>190</v>
      </c>
      <c r="AA152" s="9" t="s">
        <v>993</v>
      </c>
      <c r="AB152" s="11" t="s">
        <v>190</v>
      </c>
      <c r="AC152" s="12"/>
      <c r="AD152" s="12" t="s">
        <v>1040</v>
      </c>
      <c r="AE152" s="33" t="s">
        <v>360</v>
      </c>
      <c r="AF152" s="33" t="s">
        <v>360</v>
      </c>
      <c r="AG152" s="12"/>
      <c r="AH152" s="12"/>
    </row>
    <row r="153" spans="2:34" ht="10.25" customHeight="1" x14ac:dyDescent="0.55000000000000004">
      <c r="B153" s="16" t="s">
        <v>990</v>
      </c>
      <c r="C153" s="10">
        <v>144</v>
      </c>
      <c r="D153" s="11" t="s">
        <v>190</v>
      </c>
      <c r="E153" s="11" t="s">
        <v>190</v>
      </c>
      <c r="F153" s="11" t="s">
        <v>190</v>
      </c>
      <c r="G153" s="11" t="s">
        <v>190</v>
      </c>
      <c r="H153" s="11" t="s">
        <v>190</v>
      </c>
      <c r="I153" s="11" t="s">
        <v>190</v>
      </c>
      <c r="J153" s="11" t="s">
        <v>190</v>
      </c>
      <c r="K153" s="11" t="s">
        <v>190</v>
      </c>
      <c r="L153" s="11" t="s">
        <v>190</v>
      </c>
      <c r="M153" s="11" t="s">
        <v>190</v>
      </c>
      <c r="N153" s="11" t="s">
        <v>190</v>
      </c>
      <c r="O153" s="11" t="s">
        <v>190</v>
      </c>
      <c r="P153" s="11" t="s">
        <v>190</v>
      </c>
      <c r="Q153" s="11" t="s">
        <v>190</v>
      </c>
      <c r="R153" s="11" t="s">
        <v>190</v>
      </c>
      <c r="S153" s="11" t="s">
        <v>190</v>
      </c>
      <c r="T153" s="11" t="s">
        <v>190</v>
      </c>
      <c r="U153" s="11" t="s">
        <v>190</v>
      </c>
      <c r="V153" s="11" t="s">
        <v>190</v>
      </c>
      <c r="W153" s="11" t="s">
        <v>190</v>
      </c>
      <c r="X153" s="11" t="s">
        <v>190</v>
      </c>
      <c r="Y153" s="11" t="s">
        <v>190</v>
      </c>
      <c r="Z153" s="11" t="s">
        <v>190</v>
      </c>
      <c r="AA153" s="16" t="s">
        <v>990</v>
      </c>
      <c r="AB153" s="11" t="s">
        <v>190</v>
      </c>
      <c r="AC153" s="12"/>
      <c r="AD153" s="12" t="s">
        <v>1030</v>
      </c>
      <c r="AE153" s="33" t="s">
        <v>360</v>
      </c>
      <c r="AF153" s="33" t="s">
        <v>360</v>
      </c>
      <c r="AG153" s="12"/>
      <c r="AH153" s="12"/>
    </row>
    <row r="156" spans="2:34" ht="10.25" customHeight="1" x14ac:dyDescent="0.55000000000000004">
      <c r="B156" s="4" t="s">
        <v>641</v>
      </c>
    </row>
    <row r="157" spans="2:34" ht="10.25" customHeight="1" x14ac:dyDescent="0.55000000000000004">
      <c r="B157" s="4" t="s">
        <v>1049</v>
      </c>
    </row>
    <row r="158" spans="2:34" ht="10.25" customHeight="1" x14ac:dyDescent="0.55000000000000004">
      <c r="B158" s="4" t="s">
        <v>642</v>
      </c>
    </row>
    <row r="171" spans="4:19" ht="15" customHeight="1" x14ac:dyDescent="0.55000000000000004">
      <c r="D171" s="159" t="s">
        <v>653</v>
      </c>
      <c r="E171" s="159"/>
      <c r="F171" s="159"/>
      <c r="G171" s="159"/>
      <c r="H171" s="159"/>
      <c r="I171" s="159"/>
      <c r="J171" s="159"/>
      <c r="K171" s="159"/>
      <c r="L171" s="159"/>
      <c r="M171" s="159"/>
      <c r="N171" s="159"/>
      <c r="O171" s="159"/>
      <c r="P171" s="159"/>
      <c r="Q171" s="159"/>
      <c r="R171" s="166"/>
      <c r="S171" s="166"/>
    </row>
    <row r="172" spans="4:19" ht="172" customHeight="1" x14ac:dyDescent="0.55000000000000004">
      <c r="D172" s="160" t="s">
        <v>654</v>
      </c>
      <c r="E172" s="160"/>
      <c r="F172" s="160"/>
      <c r="G172" s="160"/>
      <c r="H172" s="160"/>
      <c r="I172" s="160"/>
      <c r="J172" s="160"/>
      <c r="K172" s="160"/>
      <c r="L172" s="160"/>
      <c r="M172" s="160"/>
      <c r="N172" s="160"/>
      <c r="O172" s="160"/>
      <c r="P172" s="160"/>
      <c r="Q172" s="160"/>
      <c r="R172" s="167"/>
      <c r="S172" s="167"/>
    </row>
  </sheetData>
  <sheetProtection algorithmName="SHA-512" hashValue="jPf/RZHEqUTmz2q9aYnfO858q10c0bZs2OgPy4RvktgO4knbT7Se/id+qyJU+Zffg8n5eO/HO7TQsAbstVTQGg==" saltValue="qc6B5NnKDPBrS6yncg8DoA==" spinCount="100000" sheet="1" objects="1" scenarios="1" formatCells="0" formatColumns="0" formatRows="0" insertColumns="0" insertRows="0" insertHyperlinks="0" deleteColumns="0" deleteRows="0" selectLockedCells="1" sort="0" autoFilter="0" pivotTables="0"/>
  <mergeCells count="19">
    <mergeCell ref="T7:X7"/>
    <mergeCell ref="Y7:Z9"/>
    <mergeCell ref="D171:Q171"/>
    <mergeCell ref="D172:Q172"/>
    <mergeCell ref="B7:B9"/>
    <mergeCell ref="C7:C9"/>
    <mergeCell ref="I7:K7"/>
    <mergeCell ref="D7:D9"/>
    <mergeCell ref="AH8:AH9"/>
    <mergeCell ref="AC8:AC9"/>
    <mergeCell ref="AA7:AC7"/>
    <mergeCell ref="AG7:AH7"/>
    <mergeCell ref="AG8:AG9"/>
    <mergeCell ref="AB8:AB9"/>
    <mergeCell ref="AE7:AF7"/>
    <mergeCell ref="AE8:AE9"/>
    <mergeCell ref="AF8:AF9"/>
    <mergeCell ref="AD7:AD9"/>
    <mergeCell ref="AA8:AA9"/>
  </mergeCells>
  <phoneticPr fontId="3"/>
  <conditionalFormatting sqref="AA11:AA14 AA17:AA20 AA23:AA26">
    <cfRule type="notContainsBlanks" dxfId="83" priority="33">
      <formula>LEN(TRIM(AA11))&gt;0</formula>
    </cfRule>
  </conditionalFormatting>
  <conditionalFormatting sqref="AA11:AA14 AA47:AA62 AA119:AA120 AA133:AA140 AA83:AA87 AA17:AA20 AA23:AA26 AA143:AA150 AA123:AA130 AA98:AA113 AA89:AA92 AA65:AA80 AA32:AA44">
    <cfRule type="duplicateValues" dxfId="82" priority="26"/>
  </conditionalFormatting>
  <conditionalFormatting sqref="AA32:AA44">
    <cfRule type="notContainsBlanks" dxfId="81" priority="32">
      <formula>LEN(TRIM(AA32))&gt;0</formula>
    </cfRule>
  </conditionalFormatting>
  <conditionalFormatting sqref="AA47">
    <cfRule type="duplicateValues" dxfId="80" priority="19"/>
  </conditionalFormatting>
  <conditionalFormatting sqref="AA47:AA62">
    <cfRule type="notContainsBlanks" dxfId="79" priority="20">
      <formula>LEN(TRIM(AA47))&gt;0</formula>
    </cfRule>
  </conditionalFormatting>
  <conditionalFormatting sqref="AA48">
    <cfRule type="duplicateValues" dxfId="78" priority="21"/>
  </conditionalFormatting>
  <conditionalFormatting sqref="AA65:AA80">
    <cfRule type="notContainsBlanks" dxfId="77" priority="12">
      <formula>LEN(TRIM(AA65))&gt;0</formula>
    </cfRule>
  </conditionalFormatting>
  <conditionalFormatting sqref="AA71">
    <cfRule type="duplicateValues" dxfId="76" priority="17"/>
  </conditionalFormatting>
  <conditionalFormatting sqref="AA72">
    <cfRule type="duplicateValues" dxfId="75" priority="15"/>
  </conditionalFormatting>
  <conditionalFormatting sqref="AA73">
    <cfRule type="duplicateValues" dxfId="74" priority="13"/>
  </conditionalFormatting>
  <conditionalFormatting sqref="AA74">
    <cfRule type="duplicateValues" dxfId="73" priority="11"/>
  </conditionalFormatting>
  <conditionalFormatting sqref="AA83:AA87 AA89:AA92 AA98:AA113">
    <cfRule type="notContainsBlanks" dxfId="72" priority="29">
      <formula>LEN(TRIM(AA83))&gt;0</formula>
    </cfRule>
  </conditionalFormatting>
  <conditionalFormatting sqref="AA119:AA120 AA123:AA130">
    <cfRule type="notContainsBlanks" dxfId="71" priority="28">
      <formula>LEN(TRIM(AA119))&gt;0</formula>
    </cfRule>
  </conditionalFormatting>
  <conditionalFormatting sqref="AA133:AA140">
    <cfRule type="notContainsBlanks" dxfId="70" priority="4">
      <formula>LEN(TRIM(AA133))&gt;0</formula>
    </cfRule>
  </conditionalFormatting>
  <conditionalFormatting sqref="AA134">
    <cfRule type="duplicateValues" dxfId="69" priority="7"/>
  </conditionalFormatting>
  <conditionalFormatting sqref="AA135">
    <cfRule type="duplicateValues" dxfId="68" priority="5"/>
  </conditionalFormatting>
  <conditionalFormatting sqref="AA136">
    <cfRule type="duplicateValues" dxfId="67" priority="3"/>
  </conditionalFormatting>
  <conditionalFormatting sqref="AA143:AB150">
    <cfRule type="notContainsBlanks" dxfId="66" priority="1">
      <formula>LEN(TRIM(AA143))&gt;0</formula>
    </cfRule>
  </conditionalFormatting>
  <dataValidations count="116">
    <dataValidation type="list" allowBlank="1" showInputMessage="1" showErrorMessage="1" sqref="AA113" xr:uid="{737F0704-D980-4282-83C2-8EC8391A657D}">
      <formula1>$D$113:$Z$113</formula1>
    </dataValidation>
    <dataValidation type="list" allowBlank="1" showInputMessage="1" showErrorMessage="1" sqref="AA112" xr:uid="{EE7701A5-05F7-4E59-AEA5-2E32E127E815}">
      <formula1>$D$112:$Z$112</formula1>
    </dataValidation>
    <dataValidation type="list" allowBlank="1" showInputMessage="1" showErrorMessage="1" sqref="AA111" xr:uid="{8EE8714D-C31D-48CB-9B61-525281379C33}">
      <formula1>$D$111:$Z$111</formula1>
    </dataValidation>
    <dataValidation type="list" allowBlank="1" showInputMessage="1" showErrorMessage="1" sqref="AA110" xr:uid="{F3075D52-E2DC-468E-8580-580AEC620FC1}">
      <formula1>$D$110:$Z$110</formula1>
    </dataValidation>
    <dataValidation type="list" allowBlank="1" showInputMessage="1" showErrorMessage="1" sqref="AA109" xr:uid="{0F379AED-F63E-4CBC-94AA-B0EE65724592}">
      <formula1>$D$109:$Z$109</formula1>
    </dataValidation>
    <dataValidation type="list" allowBlank="1" showInputMessage="1" showErrorMessage="1" sqref="AA108" xr:uid="{F6ED579A-1875-44BC-849A-DB422CFB0A81}">
      <formula1>$D$108:$Z$108</formula1>
    </dataValidation>
    <dataValidation type="list" allowBlank="1" showInputMessage="1" showErrorMessage="1" sqref="AA107" xr:uid="{52D58EAE-7EAA-4528-8CB7-D393F74FD6D0}">
      <formula1>$D$107:$Z$107</formula1>
    </dataValidation>
    <dataValidation type="list" allowBlank="1" showInputMessage="1" showErrorMessage="1" sqref="AA106" xr:uid="{01FC7C62-DBE3-4185-928A-389C45A3D698}">
      <formula1>$D$106:$Z$106</formula1>
    </dataValidation>
    <dataValidation type="list" allowBlank="1" showInputMessage="1" showErrorMessage="1" sqref="AA105" xr:uid="{CC23B519-3898-4B47-8CDA-1AC54BD95024}">
      <formula1>$D$105:$Z$105</formula1>
    </dataValidation>
    <dataValidation type="list" allowBlank="1" showInputMessage="1" showErrorMessage="1" sqref="AA104" xr:uid="{783B4A6F-F01A-4249-9F1E-48243CE4975F}">
      <formula1>$D$104:$Z$104</formula1>
    </dataValidation>
    <dataValidation type="list" allowBlank="1" showInputMessage="1" showErrorMessage="1" sqref="AA127" xr:uid="{82C72207-F72C-4EF4-9BEA-CD7C50CCFEF6}">
      <formula1>$D$127:$Z$127</formula1>
    </dataValidation>
    <dataValidation type="list" allowBlank="1" showInputMessage="1" showErrorMessage="1" sqref="AA126" xr:uid="{A4C0BB46-8513-48D6-AF02-6BFC3851DA6A}">
      <formula1>$D$126:$Z$126</formula1>
    </dataValidation>
    <dataValidation type="list" allowBlank="1" showInputMessage="1" showErrorMessage="1" sqref="AA125" xr:uid="{C25D2BC7-1F0C-4447-8411-CA1A50E28A72}">
      <formula1>$D$125:$Z$125</formula1>
    </dataValidation>
    <dataValidation type="list" allowBlank="1" showInputMessage="1" showErrorMessage="1" sqref="AA124" xr:uid="{E4D1329E-07F6-4967-8AB3-67F4B21E5F88}">
      <formula1>$D$124:$Z$124</formula1>
    </dataValidation>
    <dataValidation type="list" allowBlank="1" showInputMessage="1" showErrorMessage="1" sqref="AA123" xr:uid="{CC1D45A2-E5D3-4F5E-BFF4-E482B6DF4F33}">
      <formula1>$D$123:$Z$123</formula1>
    </dataValidation>
    <dataValidation type="list" allowBlank="1" showInputMessage="1" showErrorMessage="1" sqref="AA120" xr:uid="{1DF8C333-8143-4F2B-A7E1-D0D68FBE81CF}">
      <formula1>$D$120:$Z$120</formula1>
    </dataValidation>
    <dataValidation type="list" allowBlank="1" showInputMessage="1" showErrorMessage="1" sqref="AA119" xr:uid="{2643E944-7D77-4045-BEDB-D132398738C0}">
      <formula1>$D$119:$Z$119</formula1>
    </dataValidation>
    <dataValidation type="list" allowBlank="1" showInputMessage="1" showErrorMessage="1" sqref="AA130" xr:uid="{58031A9B-C96A-4821-A3F8-3B99B944C7E3}">
      <formula1>$D$130:$Z$130</formula1>
    </dataValidation>
    <dataValidation type="list" allowBlank="1" showInputMessage="1" showErrorMessage="1" sqref="AA129" xr:uid="{C5C4A7B0-7520-4AE1-BAF6-E67C536167A9}">
      <formula1>$D$129:$Z$129</formula1>
    </dataValidation>
    <dataValidation type="list" allowBlank="1" showInputMessage="1" showErrorMessage="1" sqref="AA128" xr:uid="{017C288D-DFD8-439F-8D5D-5579EFF1A50F}">
      <formula1>$D$128:$Z$128</formula1>
    </dataValidation>
    <dataValidation type="list" allowBlank="1" showInputMessage="1" showErrorMessage="1" sqref="AA92" xr:uid="{D747950B-7AC8-4045-BC1E-BF664287A20D}">
      <formula1>$D$92:$Z$92</formula1>
    </dataValidation>
    <dataValidation type="list" allowBlank="1" showInputMessage="1" showErrorMessage="1" sqref="AA83" xr:uid="{AFECFB0D-669A-4F42-AC1E-0A27A1BF4FF0}">
      <formula1>$D$83:$Z$83</formula1>
    </dataValidation>
    <dataValidation type="list" allowBlank="1" showInputMessage="1" showErrorMessage="1" sqref="AA150" xr:uid="{BE0E9920-696F-4EDC-9E6A-D01EE00E083F}">
      <formula1>$D$150:$Z$150</formula1>
    </dataValidation>
    <dataValidation type="list" allowBlank="1" showInputMessage="1" showErrorMessage="1" sqref="AA149" xr:uid="{73236AAC-31AD-4C3B-8325-844C5574B58C}">
      <formula1>$D$149:$Z$149</formula1>
    </dataValidation>
    <dataValidation type="list" allowBlank="1" showInputMessage="1" showErrorMessage="1" sqref="AA148" xr:uid="{C4AA1777-DC94-46DB-9498-BE8D0582759D}">
      <formula1>$D$148:$Z$148</formula1>
    </dataValidation>
    <dataValidation type="list" allowBlank="1" showInputMessage="1" showErrorMessage="1" sqref="AA147" xr:uid="{F33289FA-83AB-41A3-9320-1A4D4F0786F0}">
      <formula1>$D$147:$Z$147</formula1>
    </dataValidation>
    <dataValidation type="list" allowBlank="1" showInputMessage="1" showErrorMessage="1" sqref="AA146" xr:uid="{FF72168A-713A-4E91-832A-94C064CBC83A}">
      <formula1>$D$146:$Z$146</formula1>
    </dataValidation>
    <dataValidation type="list" allowBlank="1" showInputMessage="1" showErrorMessage="1" sqref="AA145" xr:uid="{5AB0BD77-129F-4273-913D-831FCD017321}">
      <formula1>$D$145:$Z$145</formula1>
    </dataValidation>
    <dataValidation type="list" allowBlank="1" showInputMessage="1" showErrorMessage="1" sqref="AA144" xr:uid="{8BFAFEDB-A8F1-4617-BE3B-ED80D96B4E67}">
      <formula1>$D$144:$Z$144</formula1>
    </dataValidation>
    <dataValidation type="list" allowBlank="1" showInputMessage="1" showErrorMessage="1" sqref="AA143" xr:uid="{6CFF4A0C-38E8-4B1B-A447-D831436640FD}">
      <formula1>$D$143:$Z$143</formula1>
    </dataValidation>
    <dataValidation type="list" allowBlank="1" showInputMessage="1" showErrorMessage="1" sqref="AA140" xr:uid="{AF4BB755-7D11-4A63-BB61-8536C58A73C4}">
      <formula1>$D$140:$Z$140</formula1>
    </dataValidation>
    <dataValidation type="list" allowBlank="1" showInputMessage="1" showErrorMessage="1" sqref="AA139" xr:uid="{0B809051-674A-484D-ADD9-58239DD71027}">
      <formula1>$D$139:$Z$139</formula1>
    </dataValidation>
    <dataValidation type="list" allowBlank="1" showInputMessage="1" showErrorMessage="1" sqref="AA138" xr:uid="{848FF4DC-6805-44BD-B0D6-B6790746E42D}">
      <formula1>$D$138:$Z$138</formula1>
    </dataValidation>
    <dataValidation type="list" allowBlank="1" showInputMessage="1" showErrorMessage="1" sqref="AA137" xr:uid="{3245028B-7016-4716-B845-1EB9662456DD}">
      <formula1>$D$137:$Z$137</formula1>
    </dataValidation>
    <dataValidation type="list" allowBlank="1" showInputMessage="1" showErrorMessage="1" sqref="AA60" xr:uid="{CD10D6A2-857B-4F92-A7B3-776D442BF8EF}">
      <formula1>$D$60:$Z$60</formula1>
    </dataValidation>
    <dataValidation type="list" allowBlank="1" showInputMessage="1" showErrorMessage="1" sqref="AA59" xr:uid="{136F04FE-463C-467A-A538-D70C71B29C47}">
      <formula1>$D$59:$Z$59</formula1>
    </dataValidation>
    <dataValidation type="list" allowBlank="1" showInputMessage="1" showErrorMessage="1" sqref="AA53" xr:uid="{B9D98821-ED56-4B9B-9DA1-502ACEBC28BA}">
      <formula1>$D$53:$Z$53</formula1>
    </dataValidation>
    <dataValidation type="list" allowBlank="1" showInputMessage="1" showErrorMessage="1" sqref="AA52" xr:uid="{50ADB8A1-95EC-46E9-B1AC-1C079B041449}">
      <formula1>$D$52:$Z$52</formula1>
    </dataValidation>
    <dataValidation type="list" allowBlank="1" showInputMessage="1" showErrorMessage="1" sqref="AA51" xr:uid="{B4E5D8C2-EB2C-4560-A66C-F70DB2DDF968}">
      <formula1>$D$51:$Z$51</formula1>
    </dataValidation>
    <dataValidation type="list" allowBlank="1" showInputMessage="1" showErrorMessage="1" sqref="AA50" xr:uid="{ECA5F241-EBDB-4C09-80BD-55A6CC9E365B}">
      <formula1>$D$50:$Z$50</formula1>
    </dataValidation>
    <dataValidation type="list" allowBlank="1" showInputMessage="1" showErrorMessage="1" sqref="AA33" xr:uid="{8729AA29-5AE7-4F16-8826-0E24ED8FA91B}">
      <formula1>$D$33:$Z$33</formula1>
    </dataValidation>
    <dataValidation type="list" allowBlank="1" showInputMessage="1" showErrorMessage="1" sqref="AA32" xr:uid="{E7DFE542-B4BF-462D-AE6A-DD8BB940A18A}">
      <formula1>$D$32:$Z$32</formula1>
    </dataValidation>
    <dataValidation type="list" allowBlank="1" showInputMessage="1" showErrorMessage="1" sqref="AA20" xr:uid="{5B12DCC4-8020-47F6-9266-13EFDB12471B}">
      <formula1>$D$20:$Z$20</formula1>
    </dataValidation>
    <dataValidation type="list" allowBlank="1" showInputMessage="1" showErrorMessage="1" sqref="AA11" xr:uid="{B9F9697C-0C15-4404-8A9D-ED1B9FEAC975}">
      <formula1>$D$11:$Z$11</formula1>
    </dataValidation>
    <dataValidation type="list" allowBlank="1" showInputMessage="1" showErrorMessage="1" sqref="AA12" xr:uid="{62B3BE83-108E-4D60-9E98-BCF2C02C978C}">
      <formula1>$D$12:$Z$12</formula1>
    </dataValidation>
    <dataValidation type="list" allowBlank="1" showInputMessage="1" showErrorMessage="1" sqref="AA13" xr:uid="{B43A7D21-82A9-42A2-BF73-61B3A88F2C9F}">
      <formula1>$D$13:$Z$13</formula1>
    </dataValidation>
    <dataValidation type="list" allowBlank="1" showInputMessage="1" showErrorMessage="1" sqref="AA14" xr:uid="{A75EE8A0-09E0-4421-BD6D-043EC5BD2117}">
      <formula1>$D$14:$Z$14</formula1>
    </dataValidation>
    <dataValidation type="list" allowBlank="1" showInputMessage="1" showErrorMessage="1" sqref="AA17" xr:uid="{F5322EE7-E2B2-4D15-9EB5-EDA5FAA16F95}">
      <formula1>$D$17:$Z$17</formula1>
    </dataValidation>
    <dataValidation type="list" allowBlank="1" showInputMessage="1" showErrorMessage="1" sqref="AA18" xr:uid="{A8E5F32E-FDA3-4447-8596-6BD93D23A049}">
      <formula1>$D$18:$Z$18</formula1>
    </dataValidation>
    <dataValidation type="list" allowBlank="1" showInputMessage="1" showErrorMessage="1" sqref="AA19" xr:uid="{61562A21-88E0-47D1-A717-2666162F3FD8}">
      <formula1>$D$19:$Z$19</formula1>
    </dataValidation>
    <dataValidation type="list" allowBlank="1" showInputMessage="1" showErrorMessage="1" sqref="AA23" xr:uid="{BCD3473D-9ECE-4DF7-AC65-5D086D667FC3}">
      <formula1>$D$23:$Z$23</formula1>
    </dataValidation>
    <dataValidation type="list" allowBlank="1" showInputMessage="1" showErrorMessage="1" sqref="AA24" xr:uid="{741D734B-2732-41A1-A3F4-0376B0FF2E0B}">
      <formula1>$D$24:$Z$24</formula1>
    </dataValidation>
    <dataValidation type="list" allowBlank="1" showInputMessage="1" showErrorMessage="1" sqref="AA25" xr:uid="{ED74DCE0-AA78-4106-9EA0-950729D06320}">
      <formula1>$D$25:$Z$25</formula1>
    </dataValidation>
    <dataValidation type="list" allowBlank="1" showInputMessage="1" showErrorMessage="1" sqref="AA26" xr:uid="{64869167-79B1-40D9-863E-E80F0A166312}">
      <formula1>$D$26:$Z$26</formula1>
    </dataValidation>
    <dataValidation type="list" allowBlank="1" showInputMessage="1" showErrorMessage="1" sqref="AA54" xr:uid="{B01DBCED-BD9F-400E-BF1F-F72CC3241753}">
      <formula1>$D$54:$Z$54</formula1>
    </dataValidation>
    <dataValidation type="list" allowBlank="1" showInputMessage="1" showErrorMessage="1" sqref="AA55" xr:uid="{852F7663-2D5D-466B-AB14-496E0DA3CF49}">
      <formula1>$D$55:$Z$55</formula1>
    </dataValidation>
    <dataValidation type="list" allowBlank="1" showInputMessage="1" showErrorMessage="1" sqref="AA56" xr:uid="{E8D38C0A-483E-4C38-9AD9-F07EB5CD6C71}">
      <formula1>$D$56:$Z$56</formula1>
    </dataValidation>
    <dataValidation type="list" allowBlank="1" showInputMessage="1" showErrorMessage="1" sqref="AA57" xr:uid="{276D69A2-1BCA-4B9D-B29D-B324A87EBCBD}">
      <formula1>$D$57:$Z$57</formula1>
    </dataValidation>
    <dataValidation type="list" allowBlank="1" showInputMessage="1" showErrorMessage="1" sqref="AA58" xr:uid="{DD223B46-226E-4757-BBAE-DDE48E5DB06B}">
      <formula1>$D$58:$Z$58</formula1>
    </dataValidation>
    <dataValidation type="list" allowBlank="1" showInputMessage="1" showErrorMessage="1" sqref="AA42" xr:uid="{8C28BB82-326F-47A5-BDDA-045B816A9DA5}">
      <formula1>$D$42:$Z$42</formula1>
    </dataValidation>
    <dataValidation type="list" allowBlank="1" showInputMessage="1" showErrorMessage="1" sqref="AA43" xr:uid="{E343EB37-7F7B-44D8-929F-49AE11BC89AF}">
      <formula1>$D$43:$Z$43</formula1>
    </dataValidation>
    <dataValidation type="list" allowBlank="1" showInputMessage="1" showErrorMessage="1" sqref="AA49" xr:uid="{DF4960DD-C8C2-4015-BB98-CAE47B70A6E1}">
      <formula1>$D$49:$Z$49</formula1>
    </dataValidation>
    <dataValidation type="list" allowBlank="1" showInputMessage="1" showErrorMessage="1" sqref="AA98" xr:uid="{DF8163B6-AE09-4F04-9AC3-C9D801D4DC80}">
      <formula1>$D$98:$Z$98</formula1>
    </dataValidation>
    <dataValidation type="list" allowBlank="1" showInputMessage="1" showErrorMessage="1" sqref="AA99" xr:uid="{20AF2CFE-AFED-460B-A4AF-ABD8AF25794A}">
      <formula1>$D$99:$Z$99</formula1>
    </dataValidation>
    <dataValidation type="list" allowBlank="1" showInputMessage="1" showErrorMessage="1" sqref="AA100" xr:uid="{6887D4B5-CEB7-47F0-A0D6-D87E035E2E98}">
      <formula1>$D$100:$Z$100</formula1>
    </dataValidation>
    <dataValidation type="list" allowBlank="1" showInputMessage="1" showErrorMessage="1" sqref="AA101" xr:uid="{64E47AAD-EF8E-418C-9FE3-FE1661988279}">
      <formula1>$D$101:$Z$101</formula1>
    </dataValidation>
    <dataValidation type="list" allowBlank="1" showInputMessage="1" showErrorMessage="1" sqref="AA102" xr:uid="{6AA9D7E7-2C3A-47D9-ADB3-F47D16EF0DED}">
      <formula1>$D$102:$Z$102</formula1>
    </dataValidation>
    <dataValidation type="list" allowBlank="1" showInputMessage="1" showErrorMessage="1" sqref="AA103" xr:uid="{0E8BD30D-57B3-40DE-BF46-B4B8F8896610}">
      <formula1>$D$103:$Z$103</formula1>
    </dataValidation>
    <dataValidation type="list" allowBlank="1" showInputMessage="1" showErrorMessage="1" sqref="AA85" xr:uid="{08EBEE1D-DF92-41AC-9DF0-368363A5C407}">
      <formula1>$D$85:$Z$85</formula1>
    </dataValidation>
    <dataValidation type="list" allowBlank="1" showInputMessage="1" showErrorMessage="1" sqref="AA34" xr:uid="{38253E41-A4B3-46B2-AEE0-0CFEB814DB63}">
      <formula1>$D$34:$Z$34</formula1>
    </dataValidation>
    <dataValidation type="list" allowBlank="1" showInputMessage="1" showErrorMessage="1" sqref="AA35" xr:uid="{C9D8B416-119C-41AD-94AD-2D4C3EEA6E82}">
      <formula1>$D$35:$Z$35</formula1>
    </dataValidation>
    <dataValidation type="list" allowBlank="1" showInputMessage="1" showErrorMessage="1" sqref="AA36" xr:uid="{21E3AB67-7649-4D82-AEE3-EE30CB212FA9}">
      <formula1>$D$36:$Z$36</formula1>
    </dataValidation>
    <dataValidation type="list" allowBlank="1" showInputMessage="1" showErrorMessage="1" sqref="AA37" xr:uid="{04619E6E-9CF7-4075-9290-B91EC25002A7}">
      <formula1>$D$37:$Z$37</formula1>
    </dataValidation>
    <dataValidation type="list" allowBlank="1" showInputMessage="1" showErrorMessage="1" sqref="AA38" xr:uid="{7AAAA7F6-B073-4742-A295-35EB1D103B46}">
      <formula1>$D$38:$Z$38</formula1>
    </dataValidation>
    <dataValidation type="list" allowBlank="1" showInputMessage="1" showErrorMessage="1" sqref="AA39" xr:uid="{F0D58372-9CA0-465E-9F75-062BFB7E0701}">
      <formula1>$D$39:$Z$39</formula1>
    </dataValidation>
    <dataValidation type="list" allowBlank="1" showInputMessage="1" showErrorMessage="1" sqref="AA40" xr:uid="{847525CA-B7CE-45D9-9905-38C71400A550}">
      <formula1>$D$40:$Z$40</formula1>
    </dataValidation>
    <dataValidation type="list" allowBlank="1" showInputMessage="1" showErrorMessage="1" sqref="AA41" xr:uid="{E22A2464-3CAA-4277-9190-A768D76F9779}">
      <formula1>$D$41:$Z$41</formula1>
    </dataValidation>
    <dataValidation type="list" allowBlank="1" showInputMessage="1" showErrorMessage="1" sqref="AA87" xr:uid="{26D64E7A-D5D6-4B27-B7ED-B636AB8BB867}">
      <formula1>$D$87:$Z$87</formula1>
    </dataValidation>
    <dataValidation type="list" allowBlank="1" showInputMessage="1" showErrorMessage="1" sqref="AA89" xr:uid="{BD8CD9D6-F5DB-4AD5-920A-DC6F2BC5253E}">
      <formula1>$D$89:$Z$89</formula1>
    </dataValidation>
    <dataValidation type="list" allowBlank="1" showInputMessage="1" showErrorMessage="1" sqref="AA90" xr:uid="{C8F571FC-39C3-4655-8040-EB58C78AD1AB}">
      <formula1>$D$90:$Z$90</formula1>
    </dataValidation>
    <dataValidation type="list" allowBlank="1" showInputMessage="1" showErrorMessage="1" sqref="AA91" xr:uid="{EFAFB1EF-7C84-427F-BCD6-DEACACA2D9D7}">
      <formula1>$D$91:$Z$91</formula1>
    </dataValidation>
    <dataValidation type="list" allowBlank="1" showInputMessage="1" showErrorMessage="1" sqref="AA61" xr:uid="{0CD9FDA6-1DF5-47D9-BE98-61AD1356A7D8}">
      <formula1>$D$61:$Z$61</formula1>
    </dataValidation>
    <dataValidation type="list" allowBlank="1" showInputMessage="1" showErrorMessage="1" sqref="AA62" xr:uid="{5617E784-10B7-4378-B561-5993EA740251}">
      <formula1>$D$62:$Z$62</formula1>
    </dataValidation>
    <dataValidation type="list" allowBlank="1" showInputMessage="1" showErrorMessage="1" sqref="AA65" xr:uid="{828FA0B9-2F97-414B-8B4C-7895D49B8CFA}">
      <formula1>$D$65:$Z$65</formula1>
    </dataValidation>
    <dataValidation type="list" allowBlank="1" showInputMessage="1" showErrorMessage="1" sqref="AA66" xr:uid="{DF018A52-7EB4-41D9-AC5C-A3490A0CA990}">
      <formula1>$D$66:$Z$66</formula1>
    </dataValidation>
    <dataValidation type="list" allowBlank="1" showInputMessage="1" showErrorMessage="1" sqref="AA67" xr:uid="{3029221F-6C3F-41C1-9CCA-FA6B15BDE16A}">
      <formula1>$D$67:$Z$67</formula1>
    </dataValidation>
    <dataValidation type="list" allowBlank="1" showInputMessage="1" showErrorMessage="1" sqref="AA68" xr:uid="{B35AEC4E-A16F-4C6C-A5D8-02D8B51C3ACF}">
      <formula1>$D$68:$Z$68</formula1>
    </dataValidation>
    <dataValidation type="list" allowBlank="1" showInputMessage="1" showErrorMessage="1" sqref="AA69" xr:uid="{69652EBB-0034-438A-BFEB-6DEE4A2C5F42}">
      <formula1>$D$69:$Z$69</formula1>
    </dataValidation>
    <dataValidation type="list" allowBlank="1" showInputMessage="1" showErrorMessage="1" sqref="AA70" xr:uid="{FEF37DC5-A3C9-43CD-8C4B-001BAA2BC516}">
      <formula1>$D$70:$Z$70</formula1>
    </dataValidation>
    <dataValidation type="list" allowBlank="1" showInputMessage="1" showErrorMessage="1" sqref="AA75" xr:uid="{967F1665-E39F-47D5-A1BE-7B77C822C314}">
      <formula1>$D$75:$Z$75</formula1>
    </dataValidation>
    <dataValidation type="list" allowBlank="1" showInputMessage="1" showErrorMessage="1" sqref="AA76" xr:uid="{AD68991D-DB7B-4F39-BCDF-88851A353865}">
      <formula1>$D$76:$Z$76</formula1>
    </dataValidation>
    <dataValidation type="list" allowBlank="1" showInputMessage="1" showErrorMessage="1" sqref="AA77" xr:uid="{D206D9C0-CDB1-431E-A53F-4E13F96E9823}">
      <formula1>$D$77:$Z$77</formula1>
    </dataValidation>
    <dataValidation type="list" allowBlank="1" showInputMessage="1" showErrorMessage="1" sqref="AA78" xr:uid="{BF9D9BC3-D85D-4EAD-B142-655EDD8F7CB7}">
      <formula1>$D$78:$Z$78</formula1>
    </dataValidation>
    <dataValidation type="list" allowBlank="1" showInputMessage="1" showErrorMessage="1" sqref="AA79" xr:uid="{0CBF1237-1EE8-40C7-8EC3-F6AAAA1DC71B}">
      <formula1>$D$79:$Z$79</formula1>
    </dataValidation>
    <dataValidation type="list" allowBlank="1" showInputMessage="1" showErrorMessage="1" sqref="AA80" xr:uid="{08FAF863-807A-411B-AA10-181AE09E2386}">
      <formula1>$D$80:$Z$80</formula1>
    </dataValidation>
    <dataValidation type="list" allowBlank="1" showInputMessage="1" showErrorMessage="1" sqref="AA84" xr:uid="{E73083C0-ECD8-4489-AC85-DBCF4A31FD2F}">
      <formula1>$D$84:$Z$84</formula1>
    </dataValidation>
    <dataValidation type="list" allowBlank="1" showInputMessage="1" showErrorMessage="1" sqref="AA86" xr:uid="{F0FF9D82-ABDA-47D6-99A0-154F377C90E0}">
      <formula1>$D$86:$Z$86</formula1>
    </dataValidation>
    <dataValidation type="list" allowBlank="1" showInputMessage="1" showErrorMessage="1" sqref="AA44" xr:uid="{9E7EFF45-EAB7-40E3-8E5B-8EABE780CB78}">
      <formula1>$D$44:$Z$44</formula1>
    </dataValidation>
    <dataValidation type="list" allowBlank="1" showInputMessage="1" showErrorMessage="1" sqref="AA48" xr:uid="{93E97894-CD86-48EC-B67B-A6261BCA95B5}">
      <formula1>$D$48:$Z$48</formula1>
    </dataValidation>
    <dataValidation type="list" allowBlank="1" showInputMessage="1" showErrorMessage="1" sqref="AA47" xr:uid="{E3919C54-1546-4474-BABB-503457F5B347}">
      <formula1>$D$47:$Z$47</formula1>
    </dataValidation>
    <dataValidation type="list" allowBlank="1" showInputMessage="1" showErrorMessage="1" sqref="AA71" xr:uid="{EE4ED622-AE7F-4A4E-BD7F-F1B626E3B918}">
      <formula1>$D$71:$Z$71</formula1>
    </dataValidation>
    <dataValidation type="list" allowBlank="1" showInputMessage="1" showErrorMessage="1" sqref="AA72" xr:uid="{920CE001-F4C1-41A1-8C7C-5949445DE45F}">
      <formula1>$D$72:$Z$72</formula1>
    </dataValidation>
    <dataValidation type="list" allowBlank="1" showInputMessage="1" showErrorMessage="1" sqref="AA73" xr:uid="{45A4DC6E-1975-4B00-AE8C-E43AD881A528}">
      <formula1>$D$73:$Z$73</formula1>
    </dataValidation>
    <dataValidation type="list" allowBlank="1" showInputMessage="1" showErrorMessage="1" sqref="AA74" xr:uid="{924CFCAA-4F9A-42D3-ADCA-C03865E37083}">
      <formula1>$D$74:$Z$74</formula1>
    </dataValidation>
    <dataValidation type="list" allowBlank="1" showInputMessage="1" showErrorMessage="1" sqref="AA133" xr:uid="{527BFA02-01DD-4A87-8BBA-4790F39654BF}">
      <formula1>$D$133:$Z$133</formula1>
    </dataValidation>
    <dataValidation type="list" allowBlank="1" showInputMessage="1" showErrorMessage="1" sqref="AA134" xr:uid="{8D1EFB01-BBF3-4300-B024-1511B30C473D}">
      <formula1>$D$134:$Z$134</formula1>
    </dataValidation>
    <dataValidation type="list" allowBlank="1" showInputMessage="1" showErrorMessage="1" sqref="AA135" xr:uid="{3F5EB0AF-647F-4439-AA1F-135450807154}">
      <formula1>$D$135:$Z$135</formula1>
    </dataValidation>
    <dataValidation type="list" allowBlank="1" showInputMessage="1" showErrorMessage="1" sqref="AA136" xr:uid="{B362E230-3A70-4481-B134-883C8FD71233}">
      <formula1>$D$136:$Z$136</formula1>
    </dataValidation>
    <dataValidation type="list" allowBlank="1" showInputMessage="1" showErrorMessage="1" sqref="AB149" xr:uid="{D793FB5E-75B9-4A9C-972E-F1763359ABC3}">
      <formula1>"NA, SMARTIO7_6"</formula1>
    </dataValidation>
    <dataValidation type="list" allowBlank="1" showInputMessage="1" showErrorMessage="1" sqref="AB148" xr:uid="{92161960-9459-4CA4-A6D4-5B5A3F4F01DE}">
      <formula1>"NA, SMARTIO7_5"</formula1>
    </dataValidation>
    <dataValidation type="list" allowBlank="1" showInputMessage="1" showErrorMessage="1" sqref="AB147" xr:uid="{4E19EFB9-05B1-47E2-9CE2-004BA677AF82}">
      <formula1>"NA, SMARTIO7_4"</formula1>
    </dataValidation>
    <dataValidation type="list" allowBlank="1" showInputMessage="1" showErrorMessage="1" sqref="AB146" xr:uid="{43B1CEC7-28CA-4ED4-BCB2-93C33E7FC647}">
      <formula1>"NA, SMARTIO7_3"</formula1>
    </dataValidation>
    <dataValidation type="list" allowBlank="1" showInputMessage="1" showErrorMessage="1" sqref="AB145" xr:uid="{8C5C7853-C7B8-4D6B-9524-F54F0826AB4C}">
      <formula1>"NA, SMARTIO7_2"</formula1>
    </dataValidation>
    <dataValidation type="list" allowBlank="1" showInputMessage="1" showErrorMessage="1" sqref="AB144" xr:uid="{F64A0FDB-134E-4D6F-B563-136D99E2A4B5}">
      <formula1>"NA, SMARTIO7_1"</formula1>
    </dataValidation>
    <dataValidation type="list" allowBlank="1" showInputMessage="1" showErrorMessage="1" sqref="AB143" xr:uid="{2F31B150-96FE-4D56-8ED6-02EA1AD6A104}">
      <formula1>"NA, SMARTIO7_0"</formula1>
    </dataValidation>
    <dataValidation type="list" allowBlank="1" showInputMessage="1" showErrorMessage="1" sqref="AB150" xr:uid="{C0064EBB-DC28-4F98-8F9C-EE785ED96523}">
      <formula1>"NA, SMARTIO7_7"</formula1>
    </dataValidation>
  </dataValidations>
  <pageMargins left="0.7" right="0.7" top="0.75" bottom="0.75" header="0.3" footer="0.3"/>
  <pageSetup paperSize="9" orientation="portrait" r:id="rId1"/>
  <ignoredErrors>
    <ignoredError sqref="AC45:AC46 AC81:AC82 AC129:AC133 AC151:AC153" unlockedFormula="1"/>
  </ignoredError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3F386-76C4-45E3-BEFA-2990E66530D0}">
  <dimension ref="A1:BQ178"/>
  <sheetViews>
    <sheetView zoomScale="96" zoomScaleNormal="96" workbookViewId="0">
      <selection activeCell="G180" sqref="G180"/>
    </sheetView>
  </sheetViews>
  <sheetFormatPr defaultRowHeight="10" x14ac:dyDescent="0.55000000000000004"/>
  <cols>
    <col min="1" max="1" width="8.6640625" style="30"/>
    <col min="2" max="2" width="14.1640625" style="30" bestFit="1" customWidth="1"/>
    <col min="3" max="3" width="12.08203125" style="30" bestFit="1" customWidth="1"/>
    <col min="4" max="66" width="6.1640625" style="30" customWidth="1"/>
    <col min="67" max="69" width="8.58203125" style="30" customWidth="1"/>
    <col min="70" max="291" width="8.6640625" style="30"/>
    <col min="292" max="292" width="14.33203125" style="30" customWidth="1"/>
    <col min="293" max="294" width="3.33203125" style="30" customWidth="1"/>
    <col min="295" max="319" width="2.4140625" style="30" customWidth="1"/>
    <col min="320" max="321" width="3.33203125" style="30" customWidth="1"/>
    <col min="322" max="322" width="14.33203125" style="30" customWidth="1"/>
    <col min="323" max="547" width="8.6640625" style="30"/>
    <col min="548" max="548" width="14.33203125" style="30" customWidth="1"/>
    <col min="549" max="550" width="3.33203125" style="30" customWidth="1"/>
    <col min="551" max="575" width="2.4140625" style="30" customWidth="1"/>
    <col min="576" max="577" width="3.33203125" style="30" customWidth="1"/>
    <col min="578" max="578" width="14.33203125" style="30" customWidth="1"/>
    <col min="579" max="803" width="8.6640625" style="30"/>
    <col min="804" max="804" width="14.33203125" style="30" customWidth="1"/>
    <col min="805" max="806" width="3.33203125" style="30" customWidth="1"/>
    <col min="807" max="831" width="2.4140625" style="30" customWidth="1"/>
    <col min="832" max="833" width="3.33203125" style="30" customWidth="1"/>
    <col min="834" max="834" width="14.33203125" style="30" customWidth="1"/>
    <col min="835" max="1059" width="8.6640625" style="30"/>
    <col min="1060" max="1060" width="14.33203125" style="30" customWidth="1"/>
    <col min="1061" max="1062" width="3.33203125" style="30" customWidth="1"/>
    <col min="1063" max="1087" width="2.4140625" style="30" customWidth="1"/>
    <col min="1088" max="1089" width="3.33203125" style="30" customWidth="1"/>
    <col min="1090" max="1090" width="14.33203125" style="30" customWidth="1"/>
    <col min="1091" max="1315" width="8.6640625" style="30"/>
    <col min="1316" max="1316" width="14.33203125" style="30" customWidth="1"/>
    <col min="1317" max="1318" width="3.33203125" style="30" customWidth="1"/>
    <col min="1319" max="1343" width="2.4140625" style="30" customWidth="1"/>
    <col min="1344" max="1345" width="3.33203125" style="30" customWidth="1"/>
    <col min="1346" max="1346" width="14.33203125" style="30" customWidth="1"/>
    <col min="1347" max="1571" width="8.6640625" style="30"/>
    <col min="1572" max="1572" width="14.33203125" style="30" customWidth="1"/>
    <col min="1573" max="1574" width="3.33203125" style="30" customWidth="1"/>
    <col min="1575" max="1599" width="2.4140625" style="30" customWidth="1"/>
    <col min="1600" max="1601" width="3.33203125" style="30" customWidth="1"/>
    <col min="1602" max="1602" width="14.33203125" style="30" customWidth="1"/>
    <col min="1603" max="1827" width="8.6640625" style="30"/>
    <col min="1828" max="1828" width="14.33203125" style="30" customWidth="1"/>
    <col min="1829" max="1830" width="3.33203125" style="30" customWidth="1"/>
    <col min="1831" max="1855" width="2.4140625" style="30" customWidth="1"/>
    <col min="1856" max="1857" width="3.33203125" style="30" customWidth="1"/>
    <col min="1858" max="1858" width="14.33203125" style="30" customWidth="1"/>
    <col min="1859" max="2083" width="8.6640625" style="30"/>
    <col min="2084" max="2084" width="14.33203125" style="30" customWidth="1"/>
    <col min="2085" max="2086" width="3.33203125" style="30" customWidth="1"/>
    <col min="2087" max="2111" width="2.4140625" style="30" customWidth="1"/>
    <col min="2112" max="2113" width="3.33203125" style="30" customWidth="1"/>
    <col min="2114" max="2114" width="14.33203125" style="30" customWidth="1"/>
    <col min="2115" max="2339" width="8.6640625" style="30"/>
    <col min="2340" max="2340" width="14.33203125" style="30" customWidth="1"/>
    <col min="2341" max="2342" width="3.33203125" style="30" customWidth="1"/>
    <col min="2343" max="2367" width="2.4140625" style="30" customWidth="1"/>
    <col min="2368" max="2369" width="3.33203125" style="30" customWidth="1"/>
    <col min="2370" max="2370" width="14.33203125" style="30" customWidth="1"/>
    <col min="2371" max="2595" width="8.6640625" style="30"/>
    <col min="2596" max="2596" width="14.33203125" style="30" customWidth="1"/>
    <col min="2597" max="2598" width="3.33203125" style="30" customWidth="1"/>
    <col min="2599" max="2623" width="2.4140625" style="30" customWidth="1"/>
    <col min="2624" max="2625" width="3.33203125" style="30" customWidth="1"/>
    <col min="2626" max="2626" width="14.33203125" style="30" customWidth="1"/>
    <col min="2627" max="2851" width="8.6640625" style="30"/>
    <col min="2852" max="2852" width="14.33203125" style="30" customWidth="1"/>
    <col min="2853" max="2854" width="3.33203125" style="30" customWidth="1"/>
    <col min="2855" max="2879" width="2.4140625" style="30" customWidth="1"/>
    <col min="2880" max="2881" width="3.33203125" style="30" customWidth="1"/>
    <col min="2882" max="2882" width="14.33203125" style="30" customWidth="1"/>
    <col min="2883" max="3107" width="8.6640625" style="30"/>
    <col min="3108" max="3108" width="14.33203125" style="30" customWidth="1"/>
    <col min="3109" max="3110" width="3.33203125" style="30" customWidth="1"/>
    <col min="3111" max="3135" width="2.4140625" style="30" customWidth="1"/>
    <col min="3136" max="3137" width="3.33203125" style="30" customWidth="1"/>
    <col min="3138" max="3138" width="14.33203125" style="30" customWidth="1"/>
    <col min="3139" max="3363" width="8.6640625" style="30"/>
    <col min="3364" max="3364" width="14.33203125" style="30" customWidth="1"/>
    <col min="3365" max="3366" width="3.33203125" style="30" customWidth="1"/>
    <col min="3367" max="3391" width="2.4140625" style="30" customWidth="1"/>
    <col min="3392" max="3393" width="3.33203125" style="30" customWidth="1"/>
    <col min="3394" max="3394" width="14.33203125" style="30" customWidth="1"/>
    <col min="3395" max="3619" width="8.6640625" style="30"/>
    <col min="3620" max="3620" width="14.33203125" style="30" customWidth="1"/>
    <col min="3621" max="3622" width="3.33203125" style="30" customWidth="1"/>
    <col min="3623" max="3647" width="2.4140625" style="30" customWidth="1"/>
    <col min="3648" max="3649" width="3.33203125" style="30" customWidth="1"/>
    <col min="3650" max="3650" width="14.33203125" style="30" customWidth="1"/>
    <col min="3651" max="3875" width="8.6640625" style="30"/>
    <col min="3876" max="3876" width="14.33203125" style="30" customWidth="1"/>
    <col min="3877" max="3878" width="3.33203125" style="30" customWidth="1"/>
    <col min="3879" max="3903" width="2.4140625" style="30" customWidth="1"/>
    <col min="3904" max="3905" width="3.33203125" style="30" customWidth="1"/>
    <col min="3906" max="3906" width="14.33203125" style="30" customWidth="1"/>
    <col min="3907" max="4131" width="8.6640625" style="30"/>
    <col min="4132" max="4132" width="14.33203125" style="30" customWidth="1"/>
    <col min="4133" max="4134" width="3.33203125" style="30" customWidth="1"/>
    <col min="4135" max="4159" width="2.4140625" style="30" customWidth="1"/>
    <col min="4160" max="4161" width="3.33203125" style="30" customWidth="1"/>
    <col min="4162" max="4162" width="14.33203125" style="30" customWidth="1"/>
    <col min="4163" max="4387" width="8.6640625" style="30"/>
    <col min="4388" max="4388" width="14.33203125" style="30" customWidth="1"/>
    <col min="4389" max="4390" width="3.33203125" style="30" customWidth="1"/>
    <col min="4391" max="4415" width="2.4140625" style="30" customWidth="1"/>
    <col min="4416" max="4417" width="3.33203125" style="30" customWidth="1"/>
    <col min="4418" max="4418" width="14.33203125" style="30" customWidth="1"/>
    <col min="4419" max="4643" width="8.6640625" style="30"/>
    <col min="4644" max="4644" width="14.33203125" style="30" customWidth="1"/>
    <col min="4645" max="4646" width="3.33203125" style="30" customWidth="1"/>
    <col min="4647" max="4671" width="2.4140625" style="30" customWidth="1"/>
    <col min="4672" max="4673" width="3.33203125" style="30" customWidth="1"/>
    <col min="4674" max="4674" width="14.33203125" style="30" customWidth="1"/>
    <col min="4675" max="4899" width="8.6640625" style="30"/>
    <col min="4900" max="4900" width="14.33203125" style="30" customWidth="1"/>
    <col min="4901" max="4902" width="3.33203125" style="30" customWidth="1"/>
    <col min="4903" max="4927" width="2.4140625" style="30" customWidth="1"/>
    <col min="4928" max="4929" width="3.33203125" style="30" customWidth="1"/>
    <col min="4930" max="4930" width="14.33203125" style="30" customWidth="1"/>
    <col min="4931" max="5155" width="8.6640625" style="30"/>
    <col min="5156" max="5156" width="14.33203125" style="30" customWidth="1"/>
    <col min="5157" max="5158" width="3.33203125" style="30" customWidth="1"/>
    <col min="5159" max="5183" width="2.4140625" style="30" customWidth="1"/>
    <col min="5184" max="5185" width="3.33203125" style="30" customWidth="1"/>
    <col min="5186" max="5186" width="14.33203125" style="30" customWidth="1"/>
    <col min="5187" max="5411" width="8.6640625" style="30"/>
    <col min="5412" max="5412" width="14.33203125" style="30" customWidth="1"/>
    <col min="5413" max="5414" width="3.33203125" style="30" customWidth="1"/>
    <col min="5415" max="5439" width="2.4140625" style="30" customWidth="1"/>
    <col min="5440" max="5441" width="3.33203125" style="30" customWidth="1"/>
    <col min="5442" max="5442" width="14.33203125" style="30" customWidth="1"/>
    <col min="5443" max="5667" width="8.6640625" style="30"/>
    <col min="5668" max="5668" width="14.33203125" style="30" customWidth="1"/>
    <col min="5669" max="5670" width="3.33203125" style="30" customWidth="1"/>
    <col min="5671" max="5695" width="2.4140625" style="30" customWidth="1"/>
    <col min="5696" max="5697" width="3.33203125" style="30" customWidth="1"/>
    <col min="5698" max="5698" width="14.33203125" style="30" customWidth="1"/>
    <col min="5699" max="5923" width="8.6640625" style="30"/>
    <col min="5924" max="5924" width="14.33203125" style="30" customWidth="1"/>
    <col min="5925" max="5926" width="3.33203125" style="30" customWidth="1"/>
    <col min="5927" max="5951" width="2.4140625" style="30" customWidth="1"/>
    <col min="5952" max="5953" width="3.33203125" style="30" customWidth="1"/>
    <col min="5954" max="5954" width="14.33203125" style="30" customWidth="1"/>
    <col min="5955" max="6179" width="8.6640625" style="30"/>
    <col min="6180" max="6180" width="14.33203125" style="30" customWidth="1"/>
    <col min="6181" max="6182" width="3.33203125" style="30" customWidth="1"/>
    <col min="6183" max="6207" width="2.4140625" style="30" customWidth="1"/>
    <col min="6208" max="6209" width="3.33203125" style="30" customWidth="1"/>
    <col min="6210" max="6210" width="14.33203125" style="30" customWidth="1"/>
    <col min="6211" max="6435" width="8.6640625" style="30"/>
    <col min="6436" max="6436" width="14.33203125" style="30" customWidth="1"/>
    <col min="6437" max="6438" width="3.33203125" style="30" customWidth="1"/>
    <col min="6439" max="6463" width="2.4140625" style="30" customWidth="1"/>
    <col min="6464" max="6465" width="3.33203125" style="30" customWidth="1"/>
    <col min="6466" max="6466" width="14.33203125" style="30" customWidth="1"/>
    <col min="6467" max="6691" width="8.6640625" style="30"/>
    <col min="6692" max="6692" width="14.33203125" style="30" customWidth="1"/>
    <col min="6693" max="6694" width="3.33203125" style="30" customWidth="1"/>
    <col min="6695" max="6719" width="2.4140625" style="30" customWidth="1"/>
    <col min="6720" max="6721" width="3.33203125" style="30" customWidth="1"/>
    <col min="6722" max="6722" width="14.33203125" style="30" customWidth="1"/>
    <col min="6723" max="6947" width="8.6640625" style="30"/>
    <col min="6948" max="6948" width="14.33203125" style="30" customWidth="1"/>
    <col min="6949" max="6950" width="3.33203125" style="30" customWidth="1"/>
    <col min="6951" max="6975" width="2.4140625" style="30" customWidth="1"/>
    <col min="6976" max="6977" width="3.33203125" style="30" customWidth="1"/>
    <col min="6978" max="6978" width="14.33203125" style="30" customWidth="1"/>
    <col min="6979" max="7203" width="8.6640625" style="30"/>
    <col min="7204" max="7204" width="14.33203125" style="30" customWidth="1"/>
    <col min="7205" max="7206" width="3.33203125" style="30" customWidth="1"/>
    <col min="7207" max="7231" width="2.4140625" style="30" customWidth="1"/>
    <col min="7232" max="7233" width="3.33203125" style="30" customWidth="1"/>
    <col min="7234" max="7234" width="14.33203125" style="30" customWidth="1"/>
    <col min="7235" max="7459" width="8.6640625" style="30"/>
    <col min="7460" max="7460" width="14.33203125" style="30" customWidth="1"/>
    <col min="7461" max="7462" width="3.33203125" style="30" customWidth="1"/>
    <col min="7463" max="7487" width="2.4140625" style="30" customWidth="1"/>
    <col min="7488" max="7489" width="3.33203125" style="30" customWidth="1"/>
    <col min="7490" max="7490" width="14.33203125" style="30" customWidth="1"/>
    <col min="7491" max="7715" width="8.6640625" style="30"/>
    <col min="7716" max="7716" width="14.33203125" style="30" customWidth="1"/>
    <col min="7717" max="7718" width="3.33203125" style="30" customWidth="1"/>
    <col min="7719" max="7743" width="2.4140625" style="30" customWidth="1"/>
    <col min="7744" max="7745" width="3.33203125" style="30" customWidth="1"/>
    <col min="7746" max="7746" width="14.33203125" style="30" customWidth="1"/>
    <col min="7747" max="7971" width="8.6640625" style="30"/>
    <col min="7972" max="7972" width="14.33203125" style="30" customWidth="1"/>
    <col min="7973" max="7974" width="3.33203125" style="30" customWidth="1"/>
    <col min="7975" max="7999" width="2.4140625" style="30" customWidth="1"/>
    <col min="8000" max="8001" width="3.33203125" style="30" customWidth="1"/>
    <col min="8002" max="8002" width="14.33203125" style="30" customWidth="1"/>
    <col min="8003" max="8227" width="8.6640625" style="30"/>
    <col min="8228" max="8228" width="14.33203125" style="30" customWidth="1"/>
    <col min="8229" max="8230" width="3.33203125" style="30" customWidth="1"/>
    <col min="8231" max="8255" width="2.4140625" style="30" customWidth="1"/>
    <col min="8256" max="8257" width="3.33203125" style="30" customWidth="1"/>
    <col min="8258" max="8258" width="14.33203125" style="30" customWidth="1"/>
    <col min="8259" max="8483" width="8.6640625" style="30"/>
    <col min="8484" max="8484" width="14.33203125" style="30" customWidth="1"/>
    <col min="8485" max="8486" width="3.33203125" style="30" customWidth="1"/>
    <col min="8487" max="8511" width="2.4140625" style="30" customWidth="1"/>
    <col min="8512" max="8513" width="3.33203125" style="30" customWidth="1"/>
    <col min="8514" max="8514" width="14.33203125" style="30" customWidth="1"/>
    <col min="8515" max="8739" width="8.6640625" style="30"/>
    <col min="8740" max="8740" width="14.33203125" style="30" customWidth="1"/>
    <col min="8741" max="8742" width="3.33203125" style="30" customWidth="1"/>
    <col min="8743" max="8767" width="2.4140625" style="30" customWidth="1"/>
    <col min="8768" max="8769" width="3.33203125" style="30" customWidth="1"/>
    <col min="8770" max="8770" width="14.33203125" style="30" customWidth="1"/>
    <col min="8771" max="8995" width="8.6640625" style="30"/>
    <col min="8996" max="8996" width="14.33203125" style="30" customWidth="1"/>
    <col min="8997" max="8998" width="3.33203125" style="30" customWidth="1"/>
    <col min="8999" max="9023" width="2.4140625" style="30" customWidth="1"/>
    <col min="9024" max="9025" width="3.33203125" style="30" customWidth="1"/>
    <col min="9026" max="9026" width="14.33203125" style="30" customWidth="1"/>
    <col min="9027" max="9251" width="8.6640625" style="30"/>
    <col min="9252" max="9252" width="14.33203125" style="30" customWidth="1"/>
    <col min="9253" max="9254" width="3.33203125" style="30" customWidth="1"/>
    <col min="9255" max="9279" width="2.4140625" style="30" customWidth="1"/>
    <col min="9280" max="9281" width="3.33203125" style="30" customWidth="1"/>
    <col min="9282" max="9282" width="14.33203125" style="30" customWidth="1"/>
    <col min="9283" max="9507" width="8.6640625" style="30"/>
    <col min="9508" max="9508" width="14.33203125" style="30" customWidth="1"/>
    <col min="9509" max="9510" width="3.33203125" style="30" customWidth="1"/>
    <col min="9511" max="9535" width="2.4140625" style="30" customWidth="1"/>
    <col min="9536" max="9537" width="3.33203125" style="30" customWidth="1"/>
    <col min="9538" max="9538" width="14.33203125" style="30" customWidth="1"/>
    <col min="9539" max="9763" width="8.6640625" style="30"/>
    <col min="9764" max="9764" width="14.33203125" style="30" customWidth="1"/>
    <col min="9765" max="9766" width="3.33203125" style="30" customWidth="1"/>
    <col min="9767" max="9791" width="2.4140625" style="30" customWidth="1"/>
    <col min="9792" max="9793" width="3.33203125" style="30" customWidth="1"/>
    <col min="9794" max="9794" width="14.33203125" style="30" customWidth="1"/>
    <col min="9795" max="10019" width="8.6640625" style="30"/>
    <col min="10020" max="10020" width="14.33203125" style="30" customWidth="1"/>
    <col min="10021" max="10022" width="3.33203125" style="30" customWidth="1"/>
    <col min="10023" max="10047" width="2.4140625" style="30" customWidth="1"/>
    <col min="10048" max="10049" width="3.33203125" style="30" customWidth="1"/>
    <col min="10050" max="10050" width="14.33203125" style="30" customWidth="1"/>
    <col min="10051" max="10275" width="8.6640625" style="30"/>
    <col min="10276" max="10276" width="14.33203125" style="30" customWidth="1"/>
    <col min="10277" max="10278" width="3.33203125" style="30" customWidth="1"/>
    <col min="10279" max="10303" width="2.4140625" style="30" customWidth="1"/>
    <col min="10304" max="10305" width="3.33203125" style="30" customWidth="1"/>
    <col min="10306" max="10306" width="14.33203125" style="30" customWidth="1"/>
    <col min="10307" max="10531" width="8.6640625" style="30"/>
    <col min="10532" max="10532" width="14.33203125" style="30" customWidth="1"/>
    <col min="10533" max="10534" width="3.33203125" style="30" customWidth="1"/>
    <col min="10535" max="10559" width="2.4140625" style="30" customWidth="1"/>
    <col min="10560" max="10561" width="3.33203125" style="30" customWidth="1"/>
    <col min="10562" max="10562" width="14.33203125" style="30" customWidth="1"/>
    <col min="10563" max="10787" width="8.6640625" style="30"/>
    <col min="10788" max="10788" width="14.33203125" style="30" customWidth="1"/>
    <col min="10789" max="10790" width="3.33203125" style="30" customWidth="1"/>
    <col min="10791" max="10815" width="2.4140625" style="30" customWidth="1"/>
    <col min="10816" max="10817" width="3.33203125" style="30" customWidth="1"/>
    <col min="10818" max="10818" width="14.33203125" style="30" customWidth="1"/>
    <col min="10819" max="11043" width="8.6640625" style="30"/>
    <col min="11044" max="11044" width="14.33203125" style="30" customWidth="1"/>
    <col min="11045" max="11046" width="3.33203125" style="30" customWidth="1"/>
    <col min="11047" max="11071" width="2.4140625" style="30" customWidth="1"/>
    <col min="11072" max="11073" width="3.33203125" style="30" customWidth="1"/>
    <col min="11074" max="11074" width="14.33203125" style="30" customWidth="1"/>
    <col min="11075" max="11299" width="8.6640625" style="30"/>
    <col min="11300" max="11300" width="14.33203125" style="30" customWidth="1"/>
    <col min="11301" max="11302" width="3.33203125" style="30" customWidth="1"/>
    <col min="11303" max="11327" width="2.4140625" style="30" customWidth="1"/>
    <col min="11328" max="11329" width="3.33203125" style="30" customWidth="1"/>
    <col min="11330" max="11330" width="14.33203125" style="30" customWidth="1"/>
    <col min="11331" max="11555" width="8.6640625" style="30"/>
    <col min="11556" max="11556" width="14.33203125" style="30" customWidth="1"/>
    <col min="11557" max="11558" width="3.33203125" style="30" customWidth="1"/>
    <col min="11559" max="11583" width="2.4140625" style="30" customWidth="1"/>
    <col min="11584" max="11585" width="3.33203125" style="30" customWidth="1"/>
    <col min="11586" max="11586" width="14.33203125" style="30" customWidth="1"/>
    <col min="11587" max="11811" width="8.6640625" style="30"/>
    <col min="11812" max="11812" width="14.33203125" style="30" customWidth="1"/>
    <col min="11813" max="11814" width="3.33203125" style="30" customWidth="1"/>
    <col min="11815" max="11839" width="2.4140625" style="30" customWidth="1"/>
    <col min="11840" max="11841" width="3.33203125" style="30" customWidth="1"/>
    <col min="11842" max="11842" width="14.33203125" style="30" customWidth="1"/>
    <col min="11843" max="12067" width="8.6640625" style="30"/>
    <col min="12068" max="12068" width="14.33203125" style="30" customWidth="1"/>
    <col min="12069" max="12070" width="3.33203125" style="30" customWidth="1"/>
    <col min="12071" max="12095" width="2.4140625" style="30" customWidth="1"/>
    <col min="12096" max="12097" width="3.33203125" style="30" customWidth="1"/>
    <col min="12098" max="12098" width="14.33203125" style="30" customWidth="1"/>
    <col min="12099" max="12323" width="8.6640625" style="30"/>
    <col min="12324" max="12324" width="14.33203125" style="30" customWidth="1"/>
    <col min="12325" max="12326" width="3.33203125" style="30" customWidth="1"/>
    <col min="12327" max="12351" width="2.4140625" style="30" customWidth="1"/>
    <col min="12352" max="12353" width="3.33203125" style="30" customWidth="1"/>
    <col min="12354" max="12354" width="14.33203125" style="30" customWidth="1"/>
    <col min="12355" max="12579" width="8.6640625" style="30"/>
    <col min="12580" max="12580" width="14.33203125" style="30" customWidth="1"/>
    <col min="12581" max="12582" width="3.33203125" style="30" customWidth="1"/>
    <col min="12583" max="12607" width="2.4140625" style="30" customWidth="1"/>
    <col min="12608" max="12609" width="3.33203125" style="30" customWidth="1"/>
    <col min="12610" max="12610" width="14.33203125" style="30" customWidth="1"/>
    <col min="12611" max="12835" width="8.6640625" style="30"/>
    <col min="12836" max="12836" width="14.33203125" style="30" customWidth="1"/>
    <col min="12837" max="12838" width="3.33203125" style="30" customWidth="1"/>
    <col min="12839" max="12863" width="2.4140625" style="30" customWidth="1"/>
    <col min="12864" max="12865" width="3.33203125" style="30" customWidth="1"/>
    <col min="12866" max="12866" width="14.33203125" style="30" customWidth="1"/>
    <col min="12867" max="13091" width="8.6640625" style="30"/>
    <col min="13092" max="13092" width="14.33203125" style="30" customWidth="1"/>
    <col min="13093" max="13094" width="3.33203125" style="30" customWidth="1"/>
    <col min="13095" max="13119" width="2.4140625" style="30" customWidth="1"/>
    <col min="13120" max="13121" width="3.33203125" style="30" customWidth="1"/>
    <col min="13122" max="13122" width="14.33203125" style="30" customWidth="1"/>
    <col min="13123" max="13347" width="8.6640625" style="30"/>
    <col min="13348" max="13348" width="14.33203125" style="30" customWidth="1"/>
    <col min="13349" max="13350" width="3.33203125" style="30" customWidth="1"/>
    <col min="13351" max="13375" width="2.4140625" style="30" customWidth="1"/>
    <col min="13376" max="13377" width="3.33203125" style="30" customWidth="1"/>
    <col min="13378" max="13378" width="14.33203125" style="30" customWidth="1"/>
    <col min="13379" max="13603" width="8.6640625" style="30"/>
    <col min="13604" max="13604" width="14.33203125" style="30" customWidth="1"/>
    <col min="13605" max="13606" width="3.33203125" style="30" customWidth="1"/>
    <col min="13607" max="13631" width="2.4140625" style="30" customWidth="1"/>
    <col min="13632" max="13633" width="3.33203125" style="30" customWidth="1"/>
    <col min="13634" max="13634" width="14.33203125" style="30" customWidth="1"/>
    <col min="13635" max="13859" width="8.6640625" style="30"/>
    <col min="13860" max="13860" width="14.33203125" style="30" customWidth="1"/>
    <col min="13861" max="13862" width="3.33203125" style="30" customWidth="1"/>
    <col min="13863" max="13887" width="2.4140625" style="30" customWidth="1"/>
    <col min="13888" max="13889" width="3.33203125" style="30" customWidth="1"/>
    <col min="13890" max="13890" width="14.33203125" style="30" customWidth="1"/>
    <col min="13891" max="14115" width="8.6640625" style="30"/>
    <col min="14116" max="14116" width="14.33203125" style="30" customWidth="1"/>
    <col min="14117" max="14118" width="3.33203125" style="30" customWidth="1"/>
    <col min="14119" max="14143" width="2.4140625" style="30" customWidth="1"/>
    <col min="14144" max="14145" width="3.33203125" style="30" customWidth="1"/>
    <col min="14146" max="14146" width="14.33203125" style="30" customWidth="1"/>
    <col min="14147" max="14371" width="8.6640625" style="30"/>
    <col min="14372" max="14372" width="14.33203125" style="30" customWidth="1"/>
    <col min="14373" max="14374" width="3.33203125" style="30" customWidth="1"/>
    <col min="14375" max="14399" width="2.4140625" style="30" customWidth="1"/>
    <col min="14400" max="14401" width="3.33203125" style="30" customWidth="1"/>
    <col min="14402" max="14402" width="14.33203125" style="30" customWidth="1"/>
    <col min="14403" max="14627" width="8.6640625" style="30"/>
    <col min="14628" max="14628" width="14.33203125" style="30" customWidth="1"/>
    <col min="14629" max="14630" width="3.33203125" style="30" customWidth="1"/>
    <col min="14631" max="14655" width="2.4140625" style="30" customWidth="1"/>
    <col min="14656" max="14657" width="3.33203125" style="30" customWidth="1"/>
    <col min="14658" max="14658" width="14.33203125" style="30" customWidth="1"/>
    <col min="14659" max="14883" width="8.6640625" style="30"/>
    <col min="14884" max="14884" width="14.33203125" style="30" customWidth="1"/>
    <col min="14885" max="14886" width="3.33203125" style="30" customWidth="1"/>
    <col min="14887" max="14911" width="2.4140625" style="30" customWidth="1"/>
    <col min="14912" max="14913" width="3.33203125" style="30" customWidth="1"/>
    <col min="14914" max="14914" width="14.33203125" style="30" customWidth="1"/>
    <col min="14915" max="15139" width="8.6640625" style="30"/>
    <col min="15140" max="15140" width="14.33203125" style="30" customWidth="1"/>
    <col min="15141" max="15142" width="3.33203125" style="30" customWidth="1"/>
    <col min="15143" max="15167" width="2.4140625" style="30" customWidth="1"/>
    <col min="15168" max="15169" width="3.33203125" style="30" customWidth="1"/>
    <col min="15170" max="15170" width="14.33203125" style="30" customWidth="1"/>
    <col min="15171" max="15395" width="8.6640625" style="30"/>
    <col min="15396" max="15396" width="14.33203125" style="30" customWidth="1"/>
    <col min="15397" max="15398" width="3.33203125" style="30" customWidth="1"/>
    <col min="15399" max="15423" width="2.4140625" style="30" customWidth="1"/>
    <col min="15424" max="15425" width="3.33203125" style="30" customWidth="1"/>
    <col min="15426" max="15426" width="14.33203125" style="30" customWidth="1"/>
    <col min="15427" max="15651" width="8.6640625" style="30"/>
    <col min="15652" max="15652" width="14.33203125" style="30" customWidth="1"/>
    <col min="15653" max="15654" width="3.33203125" style="30" customWidth="1"/>
    <col min="15655" max="15679" width="2.4140625" style="30" customWidth="1"/>
    <col min="15680" max="15681" width="3.33203125" style="30" customWidth="1"/>
    <col min="15682" max="15682" width="14.33203125" style="30" customWidth="1"/>
    <col min="15683" max="15907" width="8.6640625" style="30"/>
    <col min="15908" max="15908" width="14.33203125" style="30" customWidth="1"/>
    <col min="15909" max="15910" width="3.33203125" style="30" customWidth="1"/>
    <col min="15911" max="15935" width="2.4140625" style="30" customWidth="1"/>
    <col min="15936" max="15937" width="3.33203125" style="30" customWidth="1"/>
    <col min="15938" max="15938" width="14.33203125" style="30" customWidth="1"/>
    <col min="15939" max="16163" width="8.6640625" style="30"/>
    <col min="16164" max="16164" width="14.33203125" style="30" customWidth="1"/>
    <col min="16165" max="16166" width="3.33203125" style="30" customWidth="1"/>
    <col min="16167" max="16191" width="2.4140625" style="30" customWidth="1"/>
    <col min="16192" max="16193" width="3.33203125" style="30" customWidth="1"/>
    <col min="16194" max="16194" width="14.33203125" style="30" customWidth="1"/>
    <col min="16195" max="16384" width="8.6640625" style="30"/>
  </cols>
  <sheetData>
    <row r="1" spans="1:69" ht="25" customHeight="1" x14ac:dyDescent="0.55000000000000004">
      <c r="A1" s="29" t="s">
        <v>364</v>
      </c>
      <c r="BO1" s="4"/>
      <c r="BP1" s="4"/>
      <c r="BQ1" s="4"/>
    </row>
    <row r="2" spans="1:69" ht="25" customHeight="1" x14ac:dyDescent="0.55000000000000004">
      <c r="A2" s="29"/>
      <c r="BO2" s="4"/>
      <c r="BP2" s="4"/>
      <c r="BQ2" s="4"/>
    </row>
    <row r="3" spans="1:69" ht="25" customHeight="1" x14ac:dyDescent="0.55000000000000004">
      <c r="A3" s="29"/>
      <c r="BO3" s="4"/>
      <c r="BP3" s="4"/>
      <c r="BQ3" s="4"/>
    </row>
    <row r="4" spans="1:69" ht="25" customHeight="1" x14ac:dyDescent="0.55000000000000004">
      <c r="A4" s="29"/>
      <c r="BO4" s="4"/>
      <c r="BP4" s="4"/>
      <c r="BQ4" s="4"/>
    </row>
    <row r="5" spans="1:69" ht="25" customHeight="1" x14ac:dyDescent="0.55000000000000004">
      <c r="A5" s="29"/>
      <c r="BN5" s="31"/>
      <c r="BO5" s="4"/>
      <c r="BP5" s="4"/>
      <c r="BQ5" s="158" t="s">
        <v>1183</v>
      </c>
    </row>
    <row r="7" spans="1:69" x14ac:dyDescent="0.55000000000000004">
      <c r="B7" s="128" t="s">
        <v>258</v>
      </c>
      <c r="C7" s="129"/>
      <c r="D7" s="32" t="s">
        <v>275</v>
      </c>
      <c r="E7" s="32" t="s">
        <v>274</v>
      </c>
    </row>
    <row r="8" spans="1:69" x14ac:dyDescent="0.55000000000000004">
      <c r="B8" s="121" t="s">
        <v>273</v>
      </c>
      <c r="C8" s="33" t="s">
        <v>269</v>
      </c>
      <c r="D8" s="33">
        <f>COUNTIF('PF144'!AA10:AA153,"CAN0_0_RX")</f>
        <v>0</v>
      </c>
      <c r="E8" s="33">
        <f>COUNTIF('PF144'!AA10:AA153,"CAN0_1_RX")</f>
        <v>0</v>
      </c>
    </row>
    <row r="9" spans="1:69" x14ac:dyDescent="0.55000000000000004">
      <c r="B9" s="123"/>
      <c r="C9" s="33" t="s">
        <v>268</v>
      </c>
      <c r="D9" s="33">
        <f>COUNTIF('PF144'!AA10:AA153,"CAN0_0_TX")</f>
        <v>0</v>
      </c>
      <c r="E9" s="33">
        <f>COUNTIF('PF144'!AA10:AA153,"CAN0_1_TX")</f>
        <v>0</v>
      </c>
    </row>
    <row r="11" spans="1:69" x14ac:dyDescent="0.55000000000000004">
      <c r="B11" s="128" t="s">
        <v>254</v>
      </c>
      <c r="C11" s="129"/>
      <c r="D11" s="32" t="s">
        <v>276</v>
      </c>
      <c r="E11" s="32" t="s">
        <v>277</v>
      </c>
    </row>
    <row r="12" spans="1:69" x14ac:dyDescent="0.55000000000000004">
      <c r="B12" s="131" t="s">
        <v>273</v>
      </c>
      <c r="C12" s="33" t="s">
        <v>269</v>
      </c>
      <c r="D12" s="33">
        <f>COUNTIF('PF144'!AA10:AA153,"CAN1_0_RX")</f>
        <v>0</v>
      </c>
      <c r="E12" s="33">
        <f>COUNTIF('PF144'!AA10:AA153,"CAN1_1_RX")</f>
        <v>0</v>
      </c>
    </row>
    <row r="13" spans="1:69" x14ac:dyDescent="0.55000000000000004">
      <c r="B13" s="131"/>
      <c r="C13" s="33" t="s">
        <v>268</v>
      </c>
      <c r="D13" s="33">
        <f>COUNTIF('PF144'!AA10:AA153,"CAN1_0_TX")</f>
        <v>0</v>
      </c>
      <c r="E13" s="33">
        <f>COUNTIF('PF144'!AA10:AA153,"CAN1_1_TX")</f>
        <v>0</v>
      </c>
    </row>
    <row r="14" spans="1:69" x14ac:dyDescent="0.55000000000000004">
      <c r="B14" s="34"/>
    </row>
    <row r="16" spans="1:69" x14ac:dyDescent="0.55000000000000004">
      <c r="B16" s="128" t="s">
        <v>257</v>
      </c>
      <c r="C16" s="129"/>
      <c r="D16" s="32" t="s">
        <v>270</v>
      </c>
      <c r="E16" s="32" t="s">
        <v>271</v>
      </c>
    </row>
    <row r="17" spans="2:59" x14ac:dyDescent="0.55000000000000004">
      <c r="B17" s="121" t="s">
        <v>273</v>
      </c>
      <c r="C17" s="33" t="s">
        <v>269</v>
      </c>
      <c r="D17" s="33">
        <f>COUNTIF('PF144'!AA10:AA153,"LIN0_RX")</f>
        <v>0</v>
      </c>
      <c r="E17" s="33">
        <f>COUNTIF('PF144'!AA10:AA153,"LIN1_RX")</f>
        <v>0</v>
      </c>
    </row>
    <row r="18" spans="2:59" x14ac:dyDescent="0.55000000000000004">
      <c r="B18" s="122"/>
      <c r="C18" s="33" t="s">
        <v>268</v>
      </c>
      <c r="D18" s="33">
        <f>COUNTIF('PF144'!AA10:AA153,"LIN0_TX")</f>
        <v>0</v>
      </c>
      <c r="E18" s="33">
        <f>COUNTIF('PF144'!AA10:AA153,"LIN1_TX")</f>
        <v>0</v>
      </c>
    </row>
    <row r="19" spans="2:59" x14ac:dyDescent="0.55000000000000004">
      <c r="B19" s="123"/>
      <c r="C19" s="33" t="s">
        <v>272</v>
      </c>
      <c r="D19" s="33">
        <f>COUNTIF('PF144'!AA10:AA153,"LIN0_EN")</f>
        <v>0</v>
      </c>
      <c r="E19" s="33">
        <f>COUNTIF('PF144'!AA10:AA153,"LIN1_EN")</f>
        <v>0</v>
      </c>
    </row>
    <row r="20" spans="2:59" x14ac:dyDescent="0.55000000000000004">
      <c r="B20" s="34"/>
    </row>
    <row r="22" spans="2:59" x14ac:dyDescent="0.55000000000000004">
      <c r="B22" s="124" t="s">
        <v>259</v>
      </c>
      <c r="C22" s="125"/>
      <c r="D22" s="91" t="s">
        <v>260</v>
      </c>
      <c r="E22" s="91" t="s">
        <v>261</v>
      </c>
      <c r="F22" s="91" t="s">
        <v>262</v>
      </c>
      <c r="G22" s="91" t="s">
        <v>263</v>
      </c>
      <c r="H22" s="91" t="s">
        <v>267</v>
      </c>
      <c r="I22" s="91" t="s">
        <v>266</v>
      </c>
      <c r="J22" s="91" t="s">
        <v>265</v>
      </c>
      <c r="K22" s="91" t="s">
        <v>264</v>
      </c>
      <c r="L22" s="91" t="s">
        <v>1063</v>
      </c>
      <c r="M22" s="91" t="s">
        <v>1064</v>
      </c>
      <c r="N22" s="91" t="s">
        <v>1065</v>
      </c>
      <c r="O22" s="91" t="s">
        <v>1066</v>
      </c>
    </row>
    <row r="23" spans="2:59" x14ac:dyDescent="0.55000000000000004">
      <c r="B23" s="132" t="s">
        <v>1181</v>
      </c>
      <c r="C23" s="133"/>
      <c r="D23" s="90" t="s">
        <v>1180</v>
      </c>
      <c r="E23" s="90" t="s">
        <v>1180</v>
      </c>
      <c r="F23" s="90" t="s">
        <v>1180</v>
      </c>
      <c r="G23" s="90" t="s">
        <v>1180</v>
      </c>
      <c r="H23" s="90" t="s">
        <v>1180</v>
      </c>
      <c r="I23" s="90" t="s">
        <v>1180</v>
      </c>
      <c r="J23" s="90" t="s">
        <v>1180</v>
      </c>
      <c r="K23" s="90" t="s">
        <v>1180</v>
      </c>
      <c r="L23" s="90" t="s">
        <v>1180</v>
      </c>
      <c r="M23" s="90" t="s">
        <v>1180</v>
      </c>
      <c r="N23" s="90" t="s">
        <v>1180</v>
      </c>
      <c r="O23" s="90" t="s">
        <v>1180</v>
      </c>
    </row>
    <row r="24" spans="2:59" ht="10" customHeight="1" x14ac:dyDescent="0.55000000000000004">
      <c r="B24" s="136" t="s">
        <v>284</v>
      </c>
      <c r="C24" s="35" t="s">
        <v>611</v>
      </c>
      <c r="D24" s="36">
        <f>COUNTIF('PF144'!AA10:AA153,"SCB0_CLK (0)")</f>
        <v>0</v>
      </c>
      <c r="E24" s="37">
        <f>COUNTIF('PF144'!AA10:AA153,"SCB1_CLK (0)")</f>
        <v>0</v>
      </c>
      <c r="F24" s="37">
        <f>COUNTIF('PF144'!AA10:AA153,"SCB2_CLK (0)")</f>
        <v>0</v>
      </c>
      <c r="G24" s="37">
        <f>COUNTIF('PF144'!AA10:AA153,"SCB3_CLK (0)")</f>
        <v>0</v>
      </c>
      <c r="H24" s="37">
        <f>COUNTIF('PF144'!AA10:AA153,"SCB4_CLK (0)")</f>
        <v>0</v>
      </c>
      <c r="I24" s="37">
        <f>COUNTIF('PF144'!AA10:AA153,"SCB5_CLK (0)")</f>
        <v>0</v>
      </c>
      <c r="J24" s="37">
        <f>COUNTIF('PF144'!AA10:AA153,"SCB6_CLK (0)")</f>
        <v>0</v>
      </c>
      <c r="K24" s="37">
        <f>COUNTIF('PF144'!AA10:AA153,"SCB7_CLK (0)")</f>
        <v>0</v>
      </c>
      <c r="L24" s="37">
        <f>COUNTIF('PF144'!AA10:AA153,"SCB8_CLK (0)")</f>
        <v>0</v>
      </c>
      <c r="M24" s="37">
        <f>COUNTIF('PF144'!AA10:AA153,"SCB9_CLK (0)")</f>
        <v>0</v>
      </c>
      <c r="N24" s="37">
        <f>COUNTIF('PF144'!AA10:AA153,"SCB10_CLK (0)")</f>
        <v>0</v>
      </c>
      <c r="O24" s="37">
        <f>COUNTIF('PF144'!AA10:AA153,"SCB11_CLK (0)")</f>
        <v>0</v>
      </c>
      <c r="BG24" s="38"/>
    </row>
    <row r="25" spans="2:59" x14ac:dyDescent="0.55000000000000004">
      <c r="B25" s="143"/>
      <c r="C25" s="35" t="s">
        <v>612</v>
      </c>
      <c r="D25" s="36">
        <f>COUNTIF('PF144'!AA10:AA153,"SCB0_CLK (1)")</f>
        <v>0</v>
      </c>
      <c r="E25" s="37">
        <f>COUNTIF('PF144'!AA10:AA153,"SCB1_CLK (1)")</f>
        <v>0</v>
      </c>
      <c r="F25" s="37">
        <f>COUNTIF('PF144'!AA10:AA153,"SCB2_CLK (1)")</f>
        <v>0</v>
      </c>
      <c r="G25" s="37">
        <f>COUNTIF('PF144'!AA10:AA153,"SCB3_CLK (1)")</f>
        <v>0</v>
      </c>
      <c r="H25" s="37">
        <f>COUNTIF('PF144'!AA10:AA153,"SCB4_CLK (1)")</f>
        <v>0</v>
      </c>
      <c r="I25" s="37">
        <f>COUNTIF('PF144'!AA10:AA153,"SCB5_CLK (1)")</f>
        <v>0</v>
      </c>
      <c r="J25" s="37">
        <f>COUNTIF('PF144'!AA10:AA153,"SCB6_CLK (1)")</f>
        <v>0</v>
      </c>
      <c r="K25" s="37">
        <f>COUNTIF('PF144'!AA10:AA153,"SCB7_CLK (1)")</f>
        <v>0</v>
      </c>
      <c r="L25" s="37">
        <f>COUNTIF('PF144'!AA10:AA153,"SCB8_CLK (1)")</f>
        <v>0</v>
      </c>
      <c r="M25" s="37">
        <f>COUNTIF('PF144'!AA10:AA153,"SCB9_CLK (1)")</f>
        <v>0</v>
      </c>
      <c r="N25" s="37">
        <f>COUNTIF('PF144'!AA10:AA153,"SCB10_CLK (1)")</f>
        <v>0</v>
      </c>
      <c r="O25" s="37">
        <f>COUNTIF('PF144'!AA10:AA153,"SCB11_CLK (1)")</f>
        <v>0</v>
      </c>
    </row>
    <row r="26" spans="2:59" x14ac:dyDescent="0.55000000000000004">
      <c r="B26" s="143"/>
      <c r="C26" s="35" t="s">
        <v>613</v>
      </c>
      <c r="D26" s="36">
        <f>COUNTIF('PF144'!AA10:AA153,"SCB0_MOSI (0)")</f>
        <v>0</v>
      </c>
      <c r="E26" s="37">
        <f>COUNTIF('PF144'!AA10:AA153,"SCB1_MOSI (0)")</f>
        <v>0</v>
      </c>
      <c r="F26" s="37">
        <f>COUNTIF('PF144'!AA10:AA153,"SCB2_MOSI (0)")</f>
        <v>0</v>
      </c>
      <c r="G26" s="37">
        <f>COUNTIF('PF144'!AA10:AA153,"SCB3_MOSI (0)")</f>
        <v>0</v>
      </c>
      <c r="H26" s="37">
        <f>COUNTIF('PF144'!AA10:AA153,"SCB4_MOSI (0)")</f>
        <v>0</v>
      </c>
      <c r="I26" s="37">
        <f>COUNTIF('PF144'!AA10:AA153,"SCB5_MOSI (0)")</f>
        <v>0</v>
      </c>
      <c r="J26" s="37">
        <f>COUNTIF('PF144'!AA10:AA153,"SCB6_MOSI (0)")</f>
        <v>0</v>
      </c>
      <c r="K26" s="37">
        <f>COUNTIF('PF144'!AA10:AA153,"SCB7_MOSI (0)")</f>
        <v>0</v>
      </c>
      <c r="L26" s="37">
        <f>COUNTIF('PF144'!AA10:AA153,"SCB8_MOSI (0)")</f>
        <v>0</v>
      </c>
      <c r="M26" s="37">
        <f>COUNTIF('PF144'!AA10:AA153,"SCB9_MOSI (0)")</f>
        <v>0</v>
      </c>
      <c r="N26" s="37">
        <f>COUNTIF('PF144'!AA10:AA153,"SCB10_MOSI (0)")</f>
        <v>0</v>
      </c>
      <c r="O26" s="37">
        <f>COUNTIF('PF144'!AA10:AA153,"SCB11_MOSI (0)")</f>
        <v>0</v>
      </c>
    </row>
    <row r="27" spans="2:59" x14ac:dyDescent="0.55000000000000004">
      <c r="B27" s="143"/>
      <c r="C27" s="35" t="s">
        <v>614</v>
      </c>
      <c r="D27" s="36">
        <f>COUNTIF('PF144'!AA10:AA153,"SCB0_MOSI (1)")</f>
        <v>0</v>
      </c>
      <c r="E27" s="37">
        <f>COUNTIF('PF144'!AA10:AA153,"SCB1_MOSI (1)")</f>
        <v>0</v>
      </c>
      <c r="F27" s="37">
        <f>COUNTIF('PF144'!AA10:AA153,"SCB2_MOSI (1)")</f>
        <v>0</v>
      </c>
      <c r="G27" s="37">
        <f>COUNTIF('PF144'!AA10:AA153,"SCB3_MOSI (1)")</f>
        <v>0</v>
      </c>
      <c r="H27" s="37">
        <f>COUNTIF('PF144'!AA10:AA153,"SCB4_MOSI (1)")</f>
        <v>0</v>
      </c>
      <c r="I27" s="37">
        <f>COUNTIF('PF144'!AA10:AA153,"SCB5_MOSI (1)")</f>
        <v>0</v>
      </c>
      <c r="J27" s="37">
        <f>COUNTIF('PF144'!AA10:AA153,"SCB6_MOSI (1)")</f>
        <v>0</v>
      </c>
      <c r="K27" s="37">
        <f>COUNTIF('PF144'!AA10:AA153,"SCB7_MOSI (1)")</f>
        <v>0</v>
      </c>
      <c r="L27" s="37">
        <f>COUNTIF('PF144'!AA10:AA153,"SCB8_MOSI (1)")</f>
        <v>0</v>
      </c>
      <c r="M27" s="37">
        <f>COUNTIF('PF144'!AA10:AA153,"SCB9_MOSI (1)")</f>
        <v>0</v>
      </c>
      <c r="N27" s="37">
        <f>COUNTIF('PF144'!AA10:AA153,"SCB10_MOSI (1)")</f>
        <v>0</v>
      </c>
      <c r="O27" s="37">
        <f>COUNTIF('PF144'!AA10:AA153,"SCB11_MOSI (1)")</f>
        <v>0</v>
      </c>
    </row>
    <row r="28" spans="2:59" x14ac:dyDescent="0.55000000000000004">
      <c r="B28" s="143"/>
      <c r="C28" s="35" t="s">
        <v>615</v>
      </c>
      <c r="D28" s="36">
        <f>COUNTIF('PF144'!AA10:AA153,"SCB0_MISO (0)")</f>
        <v>0</v>
      </c>
      <c r="E28" s="37">
        <f>COUNTIF('PF144'!AA10:AA153,"SCB1_MISO (0)")</f>
        <v>0</v>
      </c>
      <c r="F28" s="37">
        <f>COUNTIF('PF144'!AA10:AA153,"SCB2_MISO (0)")</f>
        <v>0</v>
      </c>
      <c r="G28" s="37">
        <f>COUNTIF('PF144'!AA10:AA153,"SCB3_MISO (0)")</f>
        <v>0</v>
      </c>
      <c r="H28" s="37">
        <f>COUNTIF('PF144'!AA10:AA153,"SCB4_MISO (0)")</f>
        <v>0</v>
      </c>
      <c r="I28" s="37">
        <f>COUNTIF('PF144'!AA10:AA153,"SCB5_MISO (0)")</f>
        <v>0</v>
      </c>
      <c r="J28" s="37">
        <f>COUNTIF('PF144'!AA10:AA153,"SCB6_MISO (0)")</f>
        <v>0</v>
      </c>
      <c r="K28" s="37">
        <f>COUNTIF('PF144'!AA10:AA153,"SCB7_MISO (0)")</f>
        <v>0</v>
      </c>
      <c r="L28" s="37">
        <f>COUNTIF('PF144'!AA10:AA153,"SCB8_MISO (0)")</f>
        <v>0</v>
      </c>
      <c r="M28" s="37">
        <f>COUNTIF('PF144'!AA10:AA153,"SCB9_MISO (0)")</f>
        <v>0</v>
      </c>
      <c r="N28" s="37">
        <f>COUNTIF('PF144'!AA10:AA153,"SCB10_MISO (0)")</f>
        <v>0</v>
      </c>
      <c r="O28" s="37">
        <f>COUNTIF('PF144'!AA10:AA153,"SCB11_MISO (0)")</f>
        <v>0</v>
      </c>
    </row>
    <row r="29" spans="2:59" x14ac:dyDescent="0.55000000000000004">
      <c r="B29" s="143"/>
      <c r="C29" s="35" t="s">
        <v>616</v>
      </c>
      <c r="D29" s="36">
        <f>COUNTIF('PF144'!AA10:AA153,"SCB0_MISO (1)")</f>
        <v>0</v>
      </c>
      <c r="E29" s="37">
        <f>COUNTIF('PF144'!AA10:AA153,"SCB1_MISO (1)")</f>
        <v>0</v>
      </c>
      <c r="F29" s="37">
        <f>COUNTIF('PF144'!AA10:AA153,"SCB2_MISO (1)")</f>
        <v>0</v>
      </c>
      <c r="G29" s="37">
        <f>COUNTIF('PF144'!AA10:AA153,"SCB3_MISO (1)")</f>
        <v>0</v>
      </c>
      <c r="H29" s="37">
        <f>COUNTIF('PF144'!AA10:AA153,"SCB4_MISO (1)")</f>
        <v>0</v>
      </c>
      <c r="I29" s="37">
        <f>COUNTIF('PF144'!AA10:AA153,"SCB5_MISO (1)")</f>
        <v>0</v>
      </c>
      <c r="J29" s="37">
        <f>COUNTIF('PF144'!AA10:AA153,"SCB6_MISO (1)")</f>
        <v>0</v>
      </c>
      <c r="K29" s="37">
        <f>COUNTIF('PF144'!AA10:AA153,"SCB7_MISO (1)")</f>
        <v>0</v>
      </c>
      <c r="L29" s="37">
        <f>COUNTIF('PF144'!AA10:AA153,"SCB8_MISO (1)")</f>
        <v>0</v>
      </c>
      <c r="M29" s="37">
        <f>COUNTIF('PF144'!AA10:AA153,"SCB9_MISO (1)")</f>
        <v>0</v>
      </c>
      <c r="N29" s="37">
        <f>COUNTIF('PF144'!AA10:AA153,"SCB10_MISO (1)")</f>
        <v>0</v>
      </c>
      <c r="O29" s="37">
        <f>COUNTIF('PF144'!AA10:AA153,"SCB11_MISO (1)")</f>
        <v>0</v>
      </c>
    </row>
    <row r="30" spans="2:59" x14ac:dyDescent="0.55000000000000004">
      <c r="B30" s="143"/>
      <c r="C30" s="35" t="s">
        <v>617</v>
      </c>
      <c r="D30" s="36">
        <f>COUNTIF('PF144'!AA10:AA153,"SCB0_SEL0 (0)")</f>
        <v>0</v>
      </c>
      <c r="E30" s="37">
        <f>COUNTIF('PF144'!AA10:AA153,"SCB1_SEL0 (0)")</f>
        <v>0</v>
      </c>
      <c r="F30" s="37">
        <f>COUNTIF('PF144'!AA10:AA153,"SCB2_SEL0 (0)")</f>
        <v>0</v>
      </c>
      <c r="G30" s="37">
        <f>COUNTIF('PF144'!AA10:AA153,"SCB3_SEL0 (0)")</f>
        <v>0</v>
      </c>
      <c r="H30" s="37">
        <f>COUNTIF('PF144'!AA10:AA153,"SCB4_SEL0 (0)")</f>
        <v>0</v>
      </c>
      <c r="I30" s="36">
        <f>COUNTIF('PF144'!AA10:AA153,"SCB5_SEL0 (0)")</f>
        <v>0</v>
      </c>
      <c r="J30" s="36">
        <f>COUNTIF('PF144'!AA10:AA153,"SCB6_SEL0 (0)")</f>
        <v>0</v>
      </c>
      <c r="K30" s="37">
        <f>COUNTIF('PF144'!AA10:AA153,"SCB7_SEL0 (0)")</f>
        <v>0</v>
      </c>
      <c r="L30" s="37">
        <f>COUNTIF('PF144'!AA10:AA153,"SCB8_SEL0 (0)")</f>
        <v>0</v>
      </c>
      <c r="M30" s="37">
        <f>COUNTIF('PF144'!AA10:AA153,"SCB9_SEL0 (0)")</f>
        <v>0</v>
      </c>
      <c r="N30" s="37">
        <f>COUNTIF('PF144'!AA10:AA153,"SCB10_SEL0 (0)")</f>
        <v>0</v>
      </c>
      <c r="O30" s="37">
        <f>COUNTIF('PF144'!AA10:AA153,"SCB11_SEL0 (0)")</f>
        <v>0</v>
      </c>
    </row>
    <row r="31" spans="2:59" x14ac:dyDescent="0.55000000000000004">
      <c r="B31" s="144"/>
      <c r="C31" s="35" t="s">
        <v>618</v>
      </c>
      <c r="D31" s="36">
        <f>COUNTIF('PF144'!AA10:AA153,"SCB0_SEL0 (1)")</f>
        <v>0</v>
      </c>
      <c r="E31" s="37">
        <f>COUNTIF('PF144'!AA10:AA153,"SCB1_SEL0 (1)")</f>
        <v>0</v>
      </c>
      <c r="F31" s="37">
        <f>COUNTIF('PF144'!AA10:AA153,"SCB2_SEL0 (1)")</f>
        <v>0</v>
      </c>
      <c r="G31" s="37">
        <f>COUNTIF('PF144'!AA10:AA153,"SCB3_SEL0 (1)")</f>
        <v>0</v>
      </c>
      <c r="H31" s="37">
        <f>COUNTIF('PF144'!AA10:AA153,"SCB4_SEL0 (1)")</f>
        <v>0</v>
      </c>
      <c r="I31" s="36">
        <f>COUNTIF('PF144'!AA10:AA153,"SCB5_SEL0 (1)")</f>
        <v>0</v>
      </c>
      <c r="J31" s="36">
        <f>COUNTIF('PF144'!AA10:AA153,"SCB6_SEL0 (1)")</f>
        <v>0</v>
      </c>
      <c r="K31" s="37">
        <f>COUNTIF('PF144'!AA10:AA153,"SCB7_SEL0 (1)")</f>
        <v>0</v>
      </c>
      <c r="L31" s="37">
        <f>COUNTIF('PF144'!AA10:AA153,"SCB8_SEL0 (1)")</f>
        <v>0</v>
      </c>
      <c r="M31" s="37">
        <f>COUNTIF('PF144'!AA10:AA153,"SCB9_SEL0 (1)")</f>
        <v>0</v>
      </c>
      <c r="N31" s="37">
        <f>COUNTIF('PF144'!AA10:AA153,"SCB10_SEL0 (1)")</f>
        <v>0</v>
      </c>
      <c r="O31" s="37">
        <f>COUNTIF('PF144'!AA10:AA153,"SCB11_SEL0 (1)")</f>
        <v>0</v>
      </c>
    </row>
    <row r="32" spans="2:59" x14ac:dyDescent="0.55000000000000004">
      <c r="B32" s="144"/>
      <c r="C32" s="35" t="s">
        <v>619</v>
      </c>
      <c r="D32" s="36">
        <f>COUNTIF('PF144'!AA10:AA153,"SCB0_SEL1 (0)")</f>
        <v>0</v>
      </c>
      <c r="E32" s="37">
        <f>COUNTIF('PF144'!AA10:AA153,"SCB1_SEL1 (0)")</f>
        <v>0</v>
      </c>
      <c r="F32" s="37">
        <f>COUNTIF('PF144'!AA10:AA153,"SCB2_SEL1 (0)")</f>
        <v>0</v>
      </c>
      <c r="G32" s="37">
        <f>COUNTIF('PF144'!AA10:AA153,"SCB3_SEL1 (0)")</f>
        <v>0</v>
      </c>
      <c r="H32" s="37">
        <f>COUNTIF('PF144'!AA10:AA153,"SCB4_SEL1 (0)")</f>
        <v>0</v>
      </c>
      <c r="I32" s="36">
        <f>COUNTIF('PF144'!AA10:AA153,"SCB5_SEL1 (0)")</f>
        <v>0</v>
      </c>
      <c r="J32" s="36">
        <f>COUNTIF('PF144'!AA10:AA153,"SCB6_SEL1 (0)")</f>
        <v>0</v>
      </c>
      <c r="K32" s="37">
        <f>COUNTIF('PF144'!AA10:AA153,"SCB7_SEL1 (0)")</f>
        <v>0</v>
      </c>
      <c r="L32" s="37">
        <f>COUNTIF('PF144'!AA10:AA153,"SCB8_SEL1 (0)")</f>
        <v>0</v>
      </c>
      <c r="M32" s="37">
        <f>COUNTIF('PF144'!AA10:AA153,"SCB9_SEL1 (0)")</f>
        <v>0</v>
      </c>
      <c r="N32" s="37">
        <f>COUNTIF('PF144'!AA10:AA153,"SCB10_SEL1 (0)")</f>
        <v>0</v>
      </c>
      <c r="O32" s="37">
        <f>COUNTIF('PF144'!AA10:AA153,"SCB11_SEL1 (0)")</f>
        <v>0</v>
      </c>
    </row>
    <row r="33" spans="2:15" x14ac:dyDescent="0.55000000000000004">
      <c r="B33" s="144"/>
      <c r="C33" s="35" t="s">
        <v>620</v>
      </c>
      <c r="D33" s="36">
        <f>COUNTIF('PF144'!AA10:AA153,"SCB0_SEL1 (1)")</f>
        <v>0</v>
      </c>
      <c r="E33" s="37">
        <f>COUNTIF('PF144'!AA10:AA153,"SCB1_SEL1 (1)")</f>
        <v>0</v>
      </c>
      <c r="F33" s="37">
        <f>COUNTIF('PF144'!AA10:AA153,"SCB2_SEL1 (1)")</f>
        <v>0</v>
      </c>
      <c r="G33" s="37">
        <f>COUNTIF('PF144'!AA10:AA153,"SCB3_SEL1 (1)")</f>
        <v>0</v>
      </c>
      <c r="H33" s="37">
        <f>COUNTIF('PF144'!AA10:AA153,"SCB4_SEL1 (1)")</f>
        <v>0</v>
      </c>
      <c r="I33" s="36">
        <f>COUNTIF('PF144'!AA10:AA153,"SCB5_SEL1 (1)")</f>
        <v>0</v>
      </c>
      <c r="J33" s="36">
        <f>COUNTIF('PF144'!AA10:AA153,"SCB6_SEL1 (1)")</f>
        <v>0</v>
      </c>
      <c r="K33" s="37">
        <f>COUNTIF('PF144'!AA10:AA153,"SCB7_SEL1 (1)")</f>
        <v>0</v>
      </c>
      <c r="L33" s="37">
        <f>COUNTIF('PF144'!AA10:AA153,"SCB8_SEL1 (1)")</f>
        <v>0</v>
      </c>
      <c r="M33" s="37">
        <f>COUNTIF('PF144'!AA10:AA153,"SCB9_SEL1 (1)")</f>
        <v>0</v>
      </c>
      <c r="N33" s="37">
        <f>COUNTIF('PF144'!AA10:AA153,"SCB10_SEL1 (1)")</f>
        <v>0</v>
      </c>
      <c r="O33" s="37">
        <f>COUNTIF('PF144'!AA10:AA153,"SCB11_SEL1 (1)")</f>
        <v>0</v>
      </c>
    </row>
    <row r="34" spans="2:15" x14ac:dyDescent="0.55000000000000004">
      <c r="B34" s="144"/>
      <c r="C34" s="35" t="s">
        <v>621</v>
      </c>
      <c r="D34" s="36">
        <f>COUNTIF('PF144'!AA10:AA153,"SCB0_SEL2 (0)")</f>
        <v>0</v>
      </c>
      <c r="E34" s="37">
        <f>COUNTIF('PF144'!AA10:AA153,"SCB1_SEL2 (0)")</f>
        <v>0</v>
      </c>
      <c r="F34" s="37">
        <f>COUNTIF('PF144'!AA10:AA153,"SCB2_SEL2 (0)")</f>
        <v>0</v>
      </c>
      <c r="G34" s="37">
        <f>COUNTIF('PF144'!AA10:AA153,"SCB3_SEL2 (0)")</f>
        <v>0</v>
      </c>
      <c r="H34" s="37">
        <f>COUNTIF('PF144'!AA10:AA153,"SCB4_SEL2 (0)")</f>
        <v>0</v>
      </c>
      <c r="I34" s="36">
        <f>COUNTIF('PF144'!AA10:AA153,"SCB5_SEL2 (0)")</f>
        <v>0</v>
      </c>
      <c r="J34" s="36">
        <f>COUNTIF('PF144'!AA10:AA153,"SCB6_SEL2 (0)")</f>
        <v>0</v>
      </c>
      <c r="K34" s="37">
        <f>COUNTIF('PF144'!AA10:AA153,"SCB7_SEL2 (0)")</f>
        <v>0</v>
      </c>
      <c r="L34" s="37">
        <f>COUNTIF('PF144'!AA10:AA153,"SCB8_SEL2 (0)")</f>
        <v>0</v>
      </c>
      <c r="M34" s="37">
        <f>COUNTIF('PF144'!AA10:AA153,"SCB9_SEL2 (0)")</f>
        <v>0</v>
      </c>
      <c r="N34" s="37">
        <f>COUNTIF('PF144'!AA10:AA153,"SCB10_SEL2 (0)")</f>
        <v>0</v>
      </c>
      <c r="O34" s="37">
        <f>COUNTIF('PF144'!AA10:AA153,"SCB11_SEL2 (0)")</f>
        <v>0</v>
      </c>
    </row>
    <row r="35" spans="2:15" x14ac:dyDescent="0.55000000000000004">
      <c r="B35" s="144"/>
      <c r="C35" s="35" t="s">
        <v>622</v>
      </c>
      <c r="D35" s="36">
        <f>COUNTIF('PF144'!AA10:AA153,"SCB0_SEL2 (1)")</f>
        <v>0</v>
      </c>
      <c r="E35" s="37">
        <f>COUNTIF('PF144'!AA10:AA153,"SCB1_SEL2 (1)")</f>
        <v>0</v>
      </c>
      <c r="F35" s="37">
        <f>COUNTIF('PF144'!AA10:AA153,"SCB2_SEL2 (1)")</f>
        <v>0</v>
      </c>
      <c r="G35" s="37">
        <f>COUNTIF('PF144'!AA10:AA153,"SCB3_SEL2 (1)")</f>
        <v>0</v>
      </c>
      <c r="H35" s="37">
        <f>COUNTIF('PF144'!AA10:AA153,"SCB4_SEL2 (1)")</f>
        <v>0</v>
      </c>
      <c r="I35" s="36">
        <f>COUNTIF('PF144'!AA10:AA153,"SCB5_SEL2 (1)")</f>
        <v>0</v>
      </c>
      <c r="J35" s="36">
        <f>COUNTIF('PF144'!AA10:AA153,"SCB6_SEL2 (1)")</f>
        <v>0</v>
      </c>
      <c r="K35" s="37">
        <f>COUNTIF('PF144'!AA10:AA153,"SCB7_SEL2 (1)")</f>
        <v>0</v>
      </c>
      <c r="L35" s="37">
        <f>COUNTIF('PF144'!AA10:AA153,"SCB8_SEL2 (1)")</f>
        <v>0</v>
      </c>
      <c r="M35" s="37">
        <f>COUNTIF('PF144'!AA10:AA153,"SCB9_SEL2 (1)")</f>
        <v>0</v>
      </c>
      <c r="N35" s="37">
        <f>COUNTIF('PF144'!AA10:AA153,"SCB10_SEL2 (1)")</f>
        <v>0</v>
      </c>
      <c r="O35" s="37">
        <f>COUNTIF('PF144'!AA10:AA153,"SCB11_SEL2 (1)")</f>
        <v>0</v>
      </c>
    </row>
    <row r="36" spans="2:15" x14ac:dyDescent="0.55000000000000004">
      <c r="B36" s="144"/>
      <c r="C36" s="35" t="s">
        <v>623</v>
      </c>
      <c r="D36" s="36">
        <f>COUNTIF('PF144'!AA10:AA153,"SCB0_SEL3 (0)")</f>
        <v>0</v>
      </c>
      <c r="E36" s="37">
        <f>COUNTIF('PF144'!AA10:AA153,"SCB1_SEL3 (0)")</f>
        <v>0</v>
      </c>
      <c r="F36" s="37">
        <f>COUNTIF('PF144'!AA10:AA153,"SCB2_SEL3 (0)")</f>
        <v>0</v>
      </c>
      <c r="G36" s="37">
        <f>COUNTIF('PF144'!AA10:AA153,"SCB3_SEL3 (0)")</f>
        <v>0</v>
      </c>
      <c r="H36" s="37">
        <f>COUNTIF('PF144'!AA10:AA153,"SCB4_SEL3 (0)")</f>
        <v>0</v>
      </c>
      <c r="I36" s="36">
        <f>COUNTIF('PF144'!AA10:AA153,"SCB5_SEL3 (0)")</f>
        <v>0</v>
      </c>
      <c r="J36" s="36">
        <f>COUNTIF('PF144'!AA10:AA153,"SCB6_SEL3 (0)")</f>
        <v>0</v>
      </c>
      <c r="K36" s="37">
        <f>COUNTIF('PF144'!AA10:AA153,"SCB7_SEL3 (0)")</f>
        <v>0</v>
      </c>
      <c r="L36" s="37">
        <f>COUNTIF('PF144'!AA10:AA153,"SCB8_SEL3 (0)")</f>
        <v>0</v>
      </c>
      <c r="M36" s="37">
        <f>COUNTIF('PF144'!AA10:AA153,"SCB9_SEL3 (0)")</f>
        <v>0</v>
      </c>
      <c r="N36" s="37">
        <f>COUNTIF('PF144'!AA10:AA153,"SCB10_SEL3 (0)")</f>
        <v>0</v>
      </c>
      <c r="O36" s="37">
        <f>COUNTIF('PF144'!AA10:AA153,"SCB11_SEL3 (0)")</f>
        <v>0</v>
      </c>
    </row>
    <row r="37" spans="2:15" x14ac:dyDescent="0.55000000000000004">
      <c r="B37" s="145"/>
      <c r="C37" s="35" t="s">
        <v>624</v>
      </c>
      <c r="D37" s="36">
        <f>COUNTIF('PF144'!AA10:AA153,"SCB0_SEL3 (1)")</f>
        <v>0</v>
      </c>
      <c r="E37" s="37">
        <f>COUNTIF('PF144'!AA10:AA153,"SCB1_SEL3 (1)")</f>
        <v>0</v>
      </c>
      <c r="F37" s="37">
        <f>COUNTIF('PF144'!AA10:AA153,"SCB2_SEL3 (1)")</f>
        <v>0</v>
      </c>
      <c r="G37" s="37">
        <f>COUNTIF('PF144'!AA10:AA153,"SCB3_SEL3 (1)")</f>
        <v>0</v>
      </c>
      <c r="H37" s="37">
        <f>COUNTIF('PF144'!AA10:AA153,"SCB4_SEL3 (1)")</f>
        <v>0</v>
      </c>
      <c r="I37" s="36">
        <f>COUNTIF('PF144'!AA10:AA153,"SCB5_SEL3 (1)")</f>
        <v>0</v>
      </c>
      <c r="J37" s="36">
        <f>COUNTIF('PF144'!AA10:AA153,"SCB6_SEL3 (1)")</f>
        <v>0</v>
      </c>
      <c r="K37" s="37">
        <f>COUNTIF('PF144'!AA10:AA153,"SCB7_SEL3 (1)")</f>
        <v>0</v>
      </c>
      <c r="L37" s="37">
        <f>COUNTIF('PF144'!AA10:AA153,"SCB8_SEL3 (1)")</f>
        <v>0</v>
      </c>
      <c r="M37" s="37">
        <f>COUNTIF('PF144'!AA10:AA153,"SCB9_SEL3 (1)")</f>
        <v>0</v>
      </c>
      <c r="N37" s="37">
        <f>COUNTIF('PF144'!AA10:AA153,"SCB10_SEL3 (1)")</f>
        <v>0</v>
      </c>
      <c r="O37" s="37">
        <f>COUNTIF('PF144'!AA10:AA153,"SCB11_SEL3 (1)")</f>
        <v>0</v>
      </c>
    </row>
    <row r="38" spans="2:15" x14ac:dyDescent="0.55000000000000004">
      <c r="B38" s="136" t="s">
        <v>283</v>
      </c>
      <c r="C38" s="35" t="s">
        <v>603</v>
      </c>
      <c r="D38" s="36">
        <f>COUNTIF('PF144'!AA10:AA153,"SCB0_TX (0)")</f>
        <v>0</v>
      </c>
      <c r="E38" s="37">
        <f>COUNTIF('PF144'!AA10:AA153,"SCB1_TX (0)")</f>
        <v>0</v>
      </c>
      <c r="F38" s="37">
        <f>COUNTIF('PF144'!AA10:AA153,"SCB2_TX (0)")</f>
        <v>0</v>
      </c>
      <c r="G38" s="37">
        <f>COUNTIF('PF144'!AA10:AA153,"SCB3_TX (0)")</f>
        <v>0</v>
      </c>
      <c r="H38" s="37">
        <f>COUNTIF('PF144'!AA10:AA153,"SCB4_TX (0)")</f>
        <v>0</v>
      </c>
      <c r="I38" s="37">
        <f>COUNTIF('PF144'!AA10:AA153,"SCB5_TX (0)")</f>
        <v>0</v>
      </c>
      <c r="J38" s="37">
        <f>COUNTIF('PF144'!AA10:AA153,"SCB6_TX (0)")</f>
        <v>0</v>
      </c>
      <c r="K38" s="37">
        <f>COUNTIF('PF144'!AA10:AA153,"SCB7_TX (0)")</f>
        <v>0</v>
      </c>
      <c r="L38" s="37">
        <f>COUNTIF('PF144'!AA10:AA153,"SCB8_TX (0)")</f>
        <v>0</v>
      </c>
      <c r="M38" s="37">
        <f>COUNTIF('PF144'!AA10:AA153,"SCB9_TX (0)")</f>
        <v>0</v>
      </c>
      <c r="N38" s="37">
        <f>COUNTIF('PF144'!AA10:AA153,"SCB10_TX (0)")</f>
        <v>0</v>
      </c>
      <c r="O38" s="37">
        <f>COUNTIF('PF144'!AA10:AA153,"SCB11_TX (0)")</f>
        <v>0</v>
      </c>
    </row>
    <row r="39" spans="2:15" x14ac:dyDescent="0.55000000000000004">
      <c r="B39" s="144"/>
      <c r="C39" s="35" t="s">
        <v>604</v>
      </c>
      <c r="D39" s="36">
        <f>COUNTIF('PF144'!AA10:AA153,"SCB0_TX (1)")</f>
        <v>0</v>
      </c>
      <c r="E39" s="37">
        <f>COUNTIF('PF144'!AA10:AA153,"SCB1_TX (1)")</f>
        <v>0</v>
      </c>
      <c r="F39" s="37">
        <f>COUNTIF('PF144'!AA10:AA153,"SCB2_TX (1)")</f>
        <v>0</v>
      </c>
      <c r="G39" s="37">
        <f>COUNTIF('PF144'!AA10:AA153,"SCB3_TX (1)")</f>
        <v>0</v>
      </c>
      <c r="H39" s="37">
        <f>COUNTIF('PF144'!AA10:AA153,"SCB4_TX (1)")</f>
        <v>0</v>
      </c>
      <c r="I39" s="37">
        <f>COUNTIF('PF144'!AA10:AA153,"SCB5_TX (1)")</f>
        <v>0</v>
      </c>
      <c r="J39" s="37">
        <f>COUNTIF('PF144'!AA10:AA153,"SCB6_TX (1)")</f>
        <v>0</v>
      </c>
      <c r="K39" s="37">
        <f>COUNTIF('PF144'!AA10:AA153,"SCB7_TX (1)")</f>
        <v>0</v>
      </c>
      <c r="L39" s="37">
        <f>COUNTIF('PF144'!AA10:AA153,"SCB8_TX (1)")</f>
        <v>0</v>
      </c>
      <c r="M39" s="37">
        <f>COUNTIF('PF144'!AA10:AA153,"SCB9_TX (1)")</f>
        <v>0</v>
      </c>
      <c r="N39" s="37">
        <f>COUNTIF('PF144'!AA10:AA153,"SCB10_TX (1)")</f>
        <v>0</v>
      </c>
      <c r="O39" s="37">
        <f>COUNTIF('PF144'!AA10:AA153,"SCB11_TX (1)")</f>
        <v>0</v>
      </c>
    </row>
    <row r="40" spans="2:15" x14ac:dyDescent="0.55000000000000004">
      <c r="B40" s="144"/>
      <c r="C40" s="35" t="s">
        <v>605</v>
      </c>
      <c r="D40" s="36">
        <f>COUNTIF('PF144'!AA10:AA153,"SCB0_RX (0)")</f>
        <v>0</v>
      </c>
      <c r="E40" s="37">
        <f>COUNTIF('PF144'!AA10:AA153,"SCB1_RX (0)")</f>
        <v>0</v>
      </c>
      <c r="F40" s="37">
        <f>COUNTIF('PF144'!AA10:AA153,"SCB2_RX (0)")</f>
        <v>0</v>
      </c>
      <c r="G40" s="37">
        <f>COUNTIF('PF144'!AA10:AA153,"SCB3_RX (0)")</f>
        <v>0</v>
      </c>
      <c r="H40" s="37">
        <f>COUNTIF('PF144'!AA10:AA153,"SCB4_RX (0)")</f>
        <v>0</v>
      </c>
      <c r="I40" s="37">
        <f>COUNTIF('PF144'!AA10:AA153,"SCB5_RX (0)")</f>
        <v>0</v>
      </c>
      <c r="J40" s="37">
        <f>COUNTIF('PF144'!AA10:AA153,"SCB6_RX (0)")</f>
        <v>0</v>
      </c>
      <c r="K40" s="37">
        <f>COUNTIF('PF144'!AA10:AA153,"SCB7_RX (0)")</f>
        <v>0</v>
      </c>
      <c r="L40" s="37">
        <f>COUNTIF('PF144'!AA10:AA153,"SCB8_RX (0)")</f>
        <v>0</v>
      </c>
      <c r="M40" s="37">
        <f>COUNTIF('PF144'!AA10:AA153,"SCB9_RX (0)")</f>
        <v>0</v>
      </c>
      <c r="N40" s="37">
        <f>COUNTIF('PF144'!AA10:AA153,"SCB10_RX (0)")</f>
        <v>0</v>
      </c>
      <c r="O40" s="37">
        <f>COUNTIF('PF144'!AA10:AA153,"SCB11_RX (0)")</f>
        <v>0</v>
      </c>
    </row>
    <row r="41" spans="2:15" x14ac:dyDescent="0.55000000000000004">
      <c r="B41" s="144"/>
      <c r="C41" s="35" t="s">
        <v>606</v>
      </c>
      <c r="D41" s="37">
        <f>COUNTIF('PF144'!AA10:AA153,"SCB0_RX (1)")</f>
        <v>0</v>
      </c>
      <c r="E41" s="37">
        <f>COUNTIF('PF144'!AA10:AA153,"SCB1_RX (1)")</f>
        <v>0</v>
      </c>
      <c r="F41" s="37">
        <f>COUNTIF('PF144'!AA10:AA153,"SCB2_RX (1)")</f>
        <v>0</v>
      </c>
      <c r="G41" s="37">
        <f>COUNTIF('PF144'!AA10:AA153,"SCB3_RX (1)")</f>
        <v>0</v>
      </c>
      <c r="H41" s="37">
        <f>COUNTIF('PF144'!AA10:AA153,"SCB4_RX (1)")</f>
        <v>0</v>
      </c>
      <c r="I41" s="37">
        <f>COUNTIF('PF144'!AA10:AA153,"SCB5_RX (1)")</f>
        <v>0</v>
      </c>
      <c r="J41" s="37">
        <f>COUNTIF('PF144'!AA10:AA153,"SCB6_RX (1)")</f>
        <v>0</v>
      </c>
      <c r="K41" s="37">
        <f>COUNTIF('PF144'!AA10:AA153,"SCB7_RX (1)")</f>
        <v>0</v>
      </c>
      <c r="L41" s="37">
        <f>COUNTIF('PF144'!AA10:AA153,"SCB8_RX (1)")</f>
        <v>0</v>
      </c>
      <c r="M41" s="37">
        <f>COUNTIF('PF144'!AA10:AA153,"SCB9_RX (1)")</f>
        <v>0</v>
      </c>
      <c r="N41" s="37">
        <f>COUNTIF('PF144'!AA10:AA153,"SCB10_RX (1)")</f>
        <v>0</v>
      </c>
      <c r="O41" s="37">
        <f>COUNTIF('PF144'!AA10:AA153,"SCB11_RX (1)")</f>
        <v>0</v>
      </c>
    </row>
    <row r="42" spans="2:15" ht="10.25" customHeight="1" x14ac:dyDescent="0.55000000000000004">
      <c r="B42" s="144"/>
      <c r="C42" s="35" t="s">
        <v>607</v>
      </c>
      <c r="D42" s="36">
        <f>COUNTIF('PF144'!AA10:AA153,"SCB0_CTS (0)")</f>
        <v>0</v>
      </c>
      <c r="E42" s="37">
        <f>COUNTIF('PF144'!AA10:AA153,"SCB1_CTS (0)")</f>
        <v>0</v>
      </c>
      <c r="F42" s="37">
        <f>COUNTIF('PF144'!AA10:AA153,"SCB2_CTS (0)")</f>
        <v>0</v>
      </c>
      <c r="G42" s="37">
        <f>COUNTIF('PF144'!AA10:AA153,"SCB3_CTS (0)")</f>
        <v>0</v>
      </c>
      <c r="H42" s="37">
        <f>COUNTIF('PF144'!AA10:AA153,"SCB4_CTS (0)")</f>
        <v>0</v>
      </c>
      <c r="I42" s="37">
        <f>COUNTIF('PF144'!AA10:AA153,"SCB5_CTS (0)")</f>
        <v>0</v>
      </c>
      <c r="J42" s="37">
        <f>COUNTIF('PF144'!AA10:AA153,"SCB6_CTS (0)")</f>
        <v>0</v>
      </c>
      <c r="K42" s="37">
        <f>COUNTIF('PF144'!AA10:AA153,"SCB7_CTS (0)")</f>
        <v>0</v>
      </c>
      <c r="L42" s="37">
        <f>COUNTIF('PF144'!AA10:AA153,"SCB8_CTS (0)")</f>
        <v>0</v>
      </c>
      <c r="M42" s="37">
        <f>COUNTIF('PF144'!AA10:AA153,"SCB9_CTS (0)")</f>
        <v>0</v>
      </c>
      <c r="N42" s="37">
        <f>COUNTIF('PF144'!AA10:AA153,"SCB10_CTS (0)")</f>
        <v>0</v>
      </c>
      <c r="O42" s="37">
        <f>COUNTIF('PF144'!AA10:AA153,"SCB11_CTS (0)")</f>
        <v>0</v>
      </c>
    </row>
    <row r="43" spans="2:15" x14ac:dyDescent="0.55000000000000004">
      <c r="B43" s="144"/>
      <c r="C43" s="35" t="s">
        <v>608</v>
      </c>
      <c r="D43" s="37">
        <f>COUNTIF('PF144'!AA10:AA153,"SCB0_CTS (1)")</f>
        <v>0</v>
      </c>
      <c r="E43" s="37">
        <f>COUNTIF('PF144'!AA10:AA153,"SCB1_CTS (1)")</f>
        <v>0</v>
      </c>
      <c r="F43" s="37">
        <f>COUNTIF('PF144'!AA10:AA153,"SCB2_CTS (1)")</f>
        <v>0</v>
      </c>
      <c r="G43" s="37">
        <f>COUNTIF('PF144'!AA10:AA153,"SCB3_CTS (1)")</f>
        <v>0</v>
      </c>
      <c r="H43" s="37">
        <f>COUNTIF('PF144'!AA10:AA153,"SCB4_CTS (1)")</f>
        <v>0</v>
      </c>
      <c r="I43" s="37">
        <f>COUNTIF('PF144'!AA10:AA153,"SCB5_CTS (1)")</f>
        <v>0</v>
      </c>
      <c r="J43" s="37">
        <f>COUNTIF('PF144'!AA10:AA153,"SCB6_CTS (1)")</f>
        <v>0</v>
      </c>
      <c r="K43" s="37">
        <f>COUNTIF('PF144'!AA10:AA153,"SCB7_CTS (1)")</f>
        <v>0</v>
      </c>
      <c r="L43" s="37">
        <f>COUNTIF('PF144'!AA10:AA153,"SCB8_CTS (1)")</f>
        <v>0</v>
      </c>
      <c r="M43" s="37">
        <f>COUNTIF('PF144'!AA10:AA153,"SCB9_CTS (1)")</f>
        <v>0</v>
      </c>
      <c r="N43" s="37">
        <f>COUNTIF('PF144'!AA10:AA153,"SCB10_CTS (1)")</f>
        <v>0</v>
      </c>
      <c r="O43" s="37">
        <f>COUNTIF('PF144'!AA10:AA153,"SCB11_CTS (1)")</f>
        <v>0</v>
      </c>
    </row>
    <row r="44" spans="2:15" x14ac:dyDescent="0.55000000000000004">
      <c r="B44" s="144"/>
      <c r="C44" s="35" t="s">
        <v>609</v>
      </c>
      <c r="D44" s="36">
        <f>COUNTIF('PF144'!AA10:AA153,"SCB0_RTS (0)")</f>
        <v>0</v>
      </c>
      <c r="E44" s="37">
        <f>COUNTIF('PF144'!AA10:AA153,"SCB1_RTS (0)")</f>
        <v>0</v>
      </c>
      <c r="F44" s="37">
        <f>COUNTIF('PF144'!AA10:AA153,"SCB2_RTS (0)")</f>
        <v>0</v>
      </c>
      <c r="G44" s="37">
        <f>COUNTIF('PF144'!AA10:AA153,"SCB3_RTS (0)")</f>
        <v>0</v>
      </c>
      <c r="H44" s="37">
        <f>COUNTIF('PF144'!AA10:AA153,"SCB4_RTS (0)")</f>
        <v>0</v>
      </c>
      <c r="I44" s="37">
        <f>COUNTIF('PF144'!AA10:AA153,"SCB5_RTS (0)")</f>
        <v>0</v>
      </c>
      <c r="J44" s="37">
        <f>COUNTIF('PF144'!AA10:AA153,"SCB6_RTS (0)")</f>
        <v>0</v>
      </c>
      <c r="K44" s="37">
        <f>COUNTIF('PF144'!AA10:AA153,"SCB7_RTS (0)")</f>
        <v>0</v>
      </c>
      <c r="L44" s="37">
        <f>COUNTIF('PF144'!AA10:AA153,"SCB8_RTS (0)")</f>
        <v>0</v>
      </c>
      <c r="M44" s="37">
        <f>COUNTIF('PF144'!AA10:AA153,"SCB9_RTS (0)")</f>
        <v>0</v>
      </c>
      <c r="N44" s="37">
        <f>COUNTIF('PF144'!AA10:AA153,"SCB10_RTS (0)")</f>
        <v>0</v>
      </c>
      <c r="O44" s="37">
        <f>COUNTIF('PF144'!AA10:AA153,"SCB11_RTS (0)")</f>
        <v>0</v>
      </c>
    </row>
    <row r="45" spans="2:15" x14ac:dyDescent="0.55000000000000004">
      <c r="B45" s="145"/>
      <c r="C45" s="35" t="s">
        <v>610</v>
      </c>
      <c r="D45" s="37">
        <f>COUNTIF('PF144'!AA10:AA153,"SCB0_RTS (1)")</f>
        <v>0</v>
      </c>
      <c r="E45" s="37">
        <f>COUNTIF('PF144'!AA10:AA153,"SCB1_RTS (1)")</f>
        <v>0</v>
      </c>
      <c r="F45" s="37">
        <f>COUNTIF('PF144'!AA10:AA153,"SCB2_RTS (1)")</f>
        <v>0</v>
      </c>
      <c r="G45" s="37">
        <f>COUNTIF('PF144'!AA10:AA153,"SCB3_RTS (1)")</f>
        <v>0</v>
      </c>
      <c r="H45" s="37">
        <f>COUNTIF('PF144'!AA10:AA153,"SCB4_RTS (1)")</f>
        <v>0</v>
      </c>
      <c r="I45" s="37">
        <f>COUNTIF('PF144'!AA10:AA153,"SCB5_RTS (1)")</f>
        <v>0</v>
      </c>
      <c r="J45" s="37">
        <f>COUNTIF('PF144'!AA10:AA153,"SCB6_RTS (1)")</f>
        <v>0</v>
      </c>
      <c r="K45" s="37">
        <f>COUNTIF('PF144'!AA10:AA153,"SCB7_RTS (1)")</f>
        <v>0</v>
      </c>
      <c r="L45" s="37">
        <f>COUNTIF('PF144'!AA10:AA153,"SCB8_RTS (1)")</f>
        <v>0</v>
      </c>
      <c r="M45" s="37">
        <f>COUNTIF('PF144'!AA10:AA153,"SCB9_RTS (1)")</f>
        <v>0</v>
      </c>
      <c r="N45" s="37">
        <f>COUNTIF('PF144'!AA10:AA153,"SCB10_RTS (1)")</f>
        <v>0</v>
      </c>
      <c r="O45" s="37">
        <f>COUNTIF('PF144'!AA10:AA153,"SCB11_RTS (1)")</f>
        <v>0</v>
      </c>
    </row>
    <row r="46" spans="2:15" x14ac:dyDescent="0.55000000000000004">
      <c r="B46" s="136" t="s">
        <v>285</v>
      </c>
      <c r="C46" s="39" t="s">
        <v>625</v>
      </c>
      <c r="D46" s="36">
        <f>COUNTIF('PF144'!AA10:AA153,"SCB0_SDA (0)")</f>
        <v>0</v>
      </c>
      <c r="E46" s="37">
        <f>COUNTIF('PF144'!AA10:AA153,"SCB1_SDA (0)")</f>
        <v>0</v>
      </c>
      <c r="F46" s="37">
        <f>COUNTIF('PF144'!AA10:AA153,"SCB2_SDA (0)")</f>
        <v>0</v>
      </c>
      <c r="G46" s="37">
        <f>COUNTIF('PF144'!AA10:AA153,"SCB3_SDA (0)")</f>
        <v>0</v>
      </c>
      <c r="H46" s="37">
        <f>COUNTIF('PF144'!AA10:AA153,"SCB4_SDA (0)")</f>
        <v>0</v>
      </c>
      <c r="I46" s="37">
        <f>COUNTIF('PF144'!AA10:AA153,"SCB5_SDA (0)")</f>
        <v>0</v>
      </c>
      <c r="J46" s="37">
        <f>COUNTIF('PF144'!AA10:AA153,"SCB6_SDA (0)")</f>
        <v>0</v>
      </c>
      <c r="K46" s="37">
        <f>COUNTIF('PF144'!AA10:AA153,"SCB7_SDA (0)")</f>
        <v>0</v>
      </c>
      <c r="L46" s="37">
        <f>COUNTIF('PF144'!AA10:AA153,"SCB8_SDA (0)")</f>
        <v>0</v>
      </c>
      <c r="M46" s="37">
        <f>COUNTIF('PF144'!AA10:AA153,"SCB9_SDA (0)")</f>
        <v>0</v>
      </c>
      <c r="N46" s="37">
        <f>COUNTIF('PF144'!AA10:AA153,"SCB10_SDA (0)")</f>
        <v>0</v>
      </c>
      <c r="O46" s="37">
        <f>COUNTIF('PF144'!AA10:AA153,"SCB11_SDA (0)")</f>
        <v>0</v>
      </c>
    </row>
    <row r="47" spans="2:15" x14ac:dyDescent="0.55000000000000004">
      <c r="B47" s="143"/>
      <c r="C47" s="39" t="s">
        <v>626</v>
      </c>
      <c r="D47" s="36">
        <f>COUNTIF('PF144'!AA10:AA153,"SCB0_SDA (1)")</f>
        <v>0</v>
      </c>
      <c r="E47" s="37">
        <f>COUNTIF('PF144'!AA10:AA153,"SCB1_SDA (1)")</f>
        <v>0</v>
      </c>
      <c r="F47" s="37">
        <f>COUNTIF('PF144'!AA10:AA153,"SCB2_SDA (1)")</f>
        <v>0</v>
      </c>
      <c r="G47" s="37">
        <f>COUNTIF('PF144'!AA10:AA153,"SCB3_SDA (1)")</f>
        <v>0</v>
      </c>
      <c r="H47" s="37">
        <f>COUNTIF('PF144'!AA10:AA153,"SCB4_SDA (1)")</f>
        <v>0</v>
      </c>
      <c r="I47" s="37">
        <f>COUNTIF('PF144'!AA10:AA153,"SCB5_SDA (1)")</f>
        <v>0</v>
      </c>
      <c r="J47" s="37">
        <f>COUNTIF('PF144'!AA10:AA153,"SCB6_SDA (1)")</f>
        <v>0</v>
      </c>
      <c r="K47" s="37">
        <f>COUNTIF('PF144'!AA10:AA153,"SCB7_SDA (1)")</f>
        <v>0</v>
      </c>
      <c r="L47" s="37">
        <f>COUNTIF('PF144'!AA10:AA153,"SCB8_SDA (1)")</f>
        <v>0</v>
      </c>
      <c r="M47" s="37">
        <f>COUNTIF('PF144'!AA10:AA153,"SCB9_SDA (1)")</f>
        <v>0</v>
      </c>
      <c r="N47" s="37">
        <f>COUNTIF('PF144'!AA10:AA153,"SCB10_SDA (1)")</f>
        <v>0</v>
      </c>
      <c r="O47" s="37">
        <f>COUNTIF('PF144'!AA10:AA153,"SCB11_SDA (1)")</f>
        <v>0</v>
      </c>
    </row>
    <row r="48" spans="2:15" x14ac:dyDescent="0.55000000000000004">
      <c r="B48" s="144"/>
      <c r="C48" s="39" t="s">
        <v>627</v>
      </c>
      <c r="D48" s="36">
        <f>COUNTIF('PF144'!AA10:AA153,"SCB0_SCL (0)")</f>
        <v>0</v>
      </c>
      <c r="E48" s="37">
        <f>COUNTIF('PF144'!AA10:AA153,"SCB1_SCL (0)")</f>
        <v>0</v>
      </c>
      <c r="F48" s="37">
        <f>COUNTIF('PF144'!AA10:AA153,"SCB2_SCL (0)")</f>
        <v>0</v>
      </c>
      <c r="G48" s="37">
        <f>COUNTIF('PF144'!AA10:AA153,"SCB3_SCL (0)")</f>
        <v>0</v>
      </c>
      <c r="H48" s="37">
        <f>COUNTIF('PF144'!AA10:AA153,"SCB4_SCL (0)")</f>
        <v>0</v>
      </c>
      <c r="I48" s="37">
        <f>COUNTIF('PF144'!AA10:AA153,"SCB5_SCL (0)")</f>
        <v>0</v>
      </c>
      <c r="J48" s="37">
        <f>COUNTIF('PF144'!AA10:AA153,"SCB6_SCL (0)")</f>
        <v>0</v>
      </c>
      <c r="K48" s="37">
        <f>COUNTIF('PF144'!AA10:AA153,"SCB7_SCL (0)")</f>
        <v>0</v>
      </c>
      <c r="L48" s="37">
        <f>COUNTIF('PF144'!AA10:AA153,"SCB8_SCL (0)")</f>
        <v>0</v>
      </c>
      <c r="M48" s="37">
        <f>COUNTIF('PF144'!AA10:AA153,"SCB9_SCL (0)")</f>
        <v>0</v>
      </c>
      <c r="N48" s="37">
        <f>COUNTIF('PF144'!AA10:AA153,"SCB10_SCL (0)")</f>
        <v>0</v>
      </c>
      <c r="O48" s="37">
        <f>COUNTIF('PF144'!AA10:AA153,"SCB11_SCL (0)")</f>
        <v>0</v>
      </c>
    </row>
    <row r="49" spans="2:15" ht="10.25" customHeight="1" x14ac:dyDescent="0.55000000000000004">
      <c r="B49" s="145"/>
      <c r="C49" s="39" t="s">
        <v>628</v>
      </c>
      <c r="D49" s="36">
        <f>COUNTIF('PF144'!AA10:AA153,"SCB0_SCL (1)")</f>
        <v>0</v>
      </c>
      <c r="E49" s="37">
        <f>COUNTIF('PF144'!AA10:AA153,"SCB1_SCL (1)")</f>
        <v>0</v>
      </c>
      <c r="F49" s="37">
        <f>COUNTIF('PF144'!AA10:AA153,"SCB2_SCL (1)")</f>
        <v>0</v>
      </c>
      <c r="G49" s="37">
        <f>COUNTIF('PF144'!AA10:AA153,"SCB3_SCL (1)")</f>
        <v>0</v>
      </c>
      <c r="H49" s="37">
        <f>COUNTIF('PF144'!AA10:AA153,"SCB4_SCL (1)")</f>
        <v>0</v>
      </c>
      <c r="I49" s="37">
        <f>COUNTIF('PF144'!AA10:AA153,"SCB5_SCL (1)")</f>
        <v>0</v>
      </c>
      <c r="J49" s="37">
        <f>COUNTIF('PF144'!AA10:AA153,"SCB6_SCL (1)")</f>
        <v>0</v>
      </c>
      <c r="K49" s="37">
        <f>COUNTIF('PF144'!AA10:AA153,"SCB7_SCL (1)")</f>
        <v>0</v>
      </c>
      <c r="L49" s="37">
        <f>COUNTIF('PF144'!AA10:AA153,"SCB8_SCL (1)")</f>
        <v>0</v>
      </c>
      <c r="M49" s="37">
        <f>COUNTIF('PF144'!AA10:AA153,"SCB9_SCL (1)")</f>
        <v>0</v>
      </c>
      <c r="N49" s="37">
        <f>COUNTIF('PF144'!AA10:AA153,"SCB10_SCL (1)")</f>
        <v>0</v>
      </c>
      <c r="O49" s="37">
        <f>COUNTIF('PF144'!AA10:AA153,"SCB11_SCL (1)")</f>
        <v>0</v>
      </c>
    </row>
    <row r="51" spans="2:15" hidden="1" x14ac:dyDescent="0.55000000000000004">
      <c r="B51" s="42" t="s">
        <v>259</v>
      </c>
      <c r="C51" s="42" t="s">
        <v>636</v>
      </c>
      <c r="D51" s="43" t="s">
        <v>260</v>
      </c>
      <c r="E51" s="43" t="s">
        <v>261</v>
      </c>
      <c r="F51" s="43" t="s">
        <v>262</v>
      </c>
      <c r="G51" s="43" t="s">
        <v>263</v>
      </c>
      <c r="H51" s="43" t="s">
        <v>267</v>
      </c>
      <c r="I51" s="43" t="s">
        <v>266</v>
      </c>
      <c r="J51" s="43" t="s">
        <v>265</v>
      </c>
      <c r="K51" s="43" t="s">
        <v>264</v>
      </c>
      <c r="L51" s="43" t="s">
        <v>1063</v>
      </c>
      <c r="M51" s="43" t="s">
        <v>1064</v>
      </c>
      <c r="N51" s="43" t="s">
        <v>1065</v>
      </c>
      <c r="O51" s="43" t="s">
        <v>1066</v>
      </c>
    </row>
    <row r="52" spans="2:15" hidden="1" x14ac:dyDescent="0.55000000000000004">
      <c r="B52" s="44" t="s">
        <v>637</v>
      </c>
      <c r="C52" s="45">
        <v>0</v>
      </c>
      <c r="D52" s="45">
        <f t="shared" ref="D52:L52" si="0">D24+D26+D28+D30+D32+D34+D36</f>
        <v>0</v>
      </c>
      <c r="E52" s="45">
        <f t="shared" si="0"/>
        <v>0</v>
      </c>
      <c r="F52" s="45">
        <f t="shared" si="0"/>
        <v>0</v>
      </c>
      <c r="G52" s="45">
        <f t="shared" si="0"/>
        <v>0</v>
      </c>
      <c r="H52" s="45">
        <f t="shared" si="0"/>
        <v>0</v>
      </c>
      <c r="I52" s="45">
        <f t="shared" si="0"/>
        <v>0</v>
      </c>
      <c r="J52" s="45">
        <f t="shared" si="0"/>
        <v>0</v>
      </c>
      <c r="K52" s="45">
        <f t="shared" si="0"/>
        <v>0</v>
      </c>
      <c r="L52" s="45">
        <f t="shared" si="0"/>
        <v>0</v>
      </c>
      <c r="M52" s="45">
        <f t="shared" ref="M52:O52" si="1">M24+M26+M28+M30+M32+M34+M36</f>
        <v>0</v>
      </c>
      <c r="N52" s="45">
        <f t="shared" si="1"/>
        <v>0</v>
      </c>
      <c r="O52" s="45">
        <f t="shared" si="1"/>
        <v>0</v>
      </c>
    </row>
    <row r="53" spans="2:15" hidden="1" x14ac:dyDescent="0.55000000000000004">
      <c r="B53" s="46"/>
      <c r="C53" s="45">
        <v>1</v>
      </c>
      <c r="D53" s="45">
        <f t="shared" ref="D53:K53" si="2">D25+D27+D29+D31+D33+D35+D37</f>
        <v>0</v>
      </c>
      <c r="E53" s="45">
        <f t="shared" si="2"/>
        <v>0</v>
      </c>
      <c r="F53" s="45">
        <f t="shared" si="2"/>
        <v>0</v>
      </c>
      <c r="G53" s="45">
        <f t="shared" si="2"/>
        <v>0</v>
      </c>
      <c r="H53" s="45">
        <f t="shared" si="2"/>
        <v>0</v>
      </c>
      <c r="I53" s="45">
        <f t="shared" si="2"/>
        <v>0</v>
      </c>
      <c r="J53" s="45">
        <f t="shared" si="2"/>
        <v>0</v>
      </c>
      <c r="K53" s="45">
        <f t="shared" si="2"/>
        <v>0</v>
      </c>
      <c r="L53" s="45">
        <f t="shared" ref="L53:O53" si="3">L25+L27+L29+L31+L33+L35+L37</f>
        <v>0</v>
      </c>
      <c r="M53" s="45">
        <f t="shared" si="3"/>
        <v>0</v>
      </c>
      <c r="N53" s="45">
        <f t="shared" si="3"/>
        <v>0</v>
      </c>
      <c r="O53" s="45">
        <f t="shared" si="3"/>
        <v>0</v>
      </c>
    </row>
    <row r="54" spans="2:15" hidden="1" x14ac:dyDescent="0.55000000000000004">
      <c r="B54" s="44" t="s">
        <v>638</v>
      </c>
      <c r="C54" s="45">
        <v>0</v>
      </c>
      <c r="D54" s="45">
        <f t="shared" ref="D54:K55" si="4">D38+D40+D42+D44</f>
        <v>0</v>
      </c>
      <c r="E54" s="45">
        <f t="shared" si="4"/>
        <v>0</v>
      </c>
      <c r="F54" s="45">
        <f t="shared" si="4"/>
        <v>0</v>
      </c>
      <c r="G54" s="45">
        <f t="shared" si="4"/>
        <v>0</v>
      </c>
      <c r="H54" s="45">
        <f t="shared" si="4"/>
        <v>0</v>
      </c>
      <c r="I54" s="45">
        <f t="shared" si="4"/>
        <v>0</v>
      </c>
      <c r="J54" s="45">
        <f t="shared" si="4"/>
        <v>0</v>
      </c>
      <c r="K54" s="45">
        <f t="shared" si="4"/>
        <v>0</v>
      </c>
      <c r="L54" s="45">
        <f t="shared" ref="L54:O54" si="5">L38+L40+L42+L44</f>
        <v>0</v>
      </c>
      <c r="M54" s="45">
        <f t="shared" si="5"/>
        <v>0</v>
      </c>
      <c r="N54" s="45">
        <f t="shared" si="5"/>
        <v>0</v>
      </c>
      <c r="O54" s="45">
        <f t="shared" si="5"/>
        <v>0</v>
      </c>
    </row>
    <row r="55" spans="2:15" hidden="1" x14ac:dyDescent="0.55000000000000004">
      <c r="B55" s="46"/>
      <c r="C55" s="45">
        <v>1</v>
      </c>
      <c r="D55" s="45">
        <f t="shared" si="4"/>
        <v>0</v>
      </c>
      <c r="E55" s="45">
        <f t="shared" si="4"/>
        <v>0</v>
      </c>
      <c r="F55" s="45">
        <f t="shared" si="4"/>
        <v>0</v>
      </c>
      <c r="G55" s="45">
        <f t="shared" si="4"/>
        <v>0</v>
      </c>
      <c r="H55" s="45">
        <f t="shared" si="4"/>
        <v>0</v>
      </c>
      <c r="I55" s="45">
        <f t="shared" si="4"/>
        <v>0</v>
      </c>
      <c r="J55" s="45">
        <f t="shared" si="4"/>
        <v>0</v>
      </c>
      <c r="K55" s="45">
        <f t="shared" si="4"/>
        <v>0</v>
      </c>
      <c r="L55" s="45">
        <f t="shared" ref="L55:O55" si="6">L39+L41+L43+L45</f>
        <v>0</v>
      </c>
      <c r="M55" s="45">
        <f t="shared" si="6"/>
        <v>0</v>
      </c>
      <c r="N55" s="45">
        <f t="shared" si="6"/>
        <v>0</v>
      </c>
      <c r="O55" s="45">
        <f t="shared" si="6"/>
        <v>0</v>
      </c>
    </row>
    <row r="56" spans="2:15" hidden="1" x14ac:dyDescent="0.55000000000000004">
      <c r="B56" s="44" t="s">
        <v>639</v>
      </c>
      <c r="C56" s="45">
        <v>0</v>
      </c>
      <c r="D56" s="45">
        <f t="shared" ref="D56:K57" si="7">D46+D48</f>
        <v>0</v>
      </c>
      <c r="E56" s="45">
        <f t="shared" si="7"/>
        <v>0</v>
      </c>
      <c r="F56" s="45">
        <f t="shared" si="7"/>
        <v>0</v>
      </c>
      <c r="G56" s="45">
        <f t="shared" si="7"/>
        <v>0</v>
      </c>
      <c r="H56" s="45">
        <f t="shared" si="7"/>
        <v>0</v>
      </c>
      <c r="I56" s="45">
        <f t="shared" si="7"/>
        <v>0</v>
      </c>
      <c r="J56" s="45">
        <f t="shared" si="7"/>
        <v>0</v>
      </c>
      <c r="K56" s="45">
        <f t="shared" si="7"/>
        <v>0</v>
      </c>
      <c r="L56" s="45">
        <f t="shared" ref="L56:O56" si="8">L46+L48</f>
        <v>0</v>
      </c>
      <c r="M56" s="45">
        <f t="shared" si="8"/>
        <v>0</v>
      </c>
      <c r="N56" s="45">
        <f t="shared" si="8"/>
        <v>0</v>
      </c>
      <c r="O56" s="45">
        <f t="shared" si="8"/>
        <v>0</v>
      </c>
    </row>
    <row r="57" spans="2:15" hidden="1" x14ac:dyDescent="0.55000000000000004">
      <c r="B57" s="47"/>
      <c r="C57" s="45">
        <v>1</v>
      </c>
      <c r="D57" s="45">
        <f t="shared" si="7"/>
        <v>0</v>
      </c>
      <c r="E57" s="45">
        <f t="shared" si="7"/>
        <v>0</v>
      </c>
      <c r="F57" s="45">
        <f t="shared" si="7"/>
        <v>0</v>
      </c>
      <c r="G57" s="45">
        <f t="shared" si="7"/>
        <v>0</v>
      </c>
      <c r="H57" s="45">
        <f t="shared" si="7"/>
        <v>0</v>
      </c>
      <c r="I57" s="45">
        <f t="shared" si="7"/>
        <v>0</v>
      </c>
      <c r="J57" s="45">
        <f t="shared" si="7"/>
        <v>0</v>
      </c>
      <c r="K57" s="45">
        <f t="shared" si="7"/>
        <v>0</v>
      </c>
      <c r="L57" s="45">
        <f t="shared" ref="L57:O57" si="9">L47+L49</f>
        <v>0</v>
      </c>
      <c r="M57" s="45">
        <f t="shared" si="9"/>
        <v>0</v>
      </c>
      <c r="N57" s="45">
        <f t="shared" si="9"/>
        <v>0</v>
      </c>
      <c r="O57" s="45">
        <f t="shared" si="9"/>
        <v>0</v>
      </c>
    </row>
    <row r="58" spans="2:15" hidden="1" x14ac:dyDescent="0.55000000000000004">
      <c r="B58" s="92" t="s">
        <v>1177</v>
      </c>
      <c r="C58" s="88"/>
      <c r="D58" s="89">
        <f>IF(OR(D52&gt;=1,D53&gt;=1),1,0)</f>
        <v>0</v>
      </c>
      <c r="E58" s="89">
        <f>IF(OR(E52&gt;=1,E53&gt;=1),1,0)</f>
        <v>0</v>
      </c>
      <c r="F58" s="89">
        <f t="shared" ref="F58:O58" si="10">IF(OR(F52&gt;=1,F53&gt;=1),1,0)</f>
        <v>0</v>
      </c>
      <c r="G58" s="89">
        <f t="shared" si="10"/>
        <v>0</v>
      </c>
      <c r="H58" s="89">
        <f t="shared" si="10"/>
        <v>0</v>
      </c>
      <c r="I58" s="89">
        <f t="shared" si="10"/>
        <v>0</v>
      </c>
      <c r="J58" s="89">
        <f t="shared" si="10"/>
        <v>0</v>
      </c>
      <c r="K58" s="89">
        <f t="shared" si="10"/>
        <v>0</v>
      </c>
      <c r="L58" s="89">
        <f t="shared" si="10"/>
        <v>0</v>
      </c>
      <c r="M58" s="89">
        <f t="shared" si="10"/>
        <v>0</v>
      </c>
      <c r="N58" s="89">
        <f t="shared" si="10"/>
        <v>0</v>
      </c>
      <c r="O58" s="89">
        <f t="shared" si="10"/>
        <v>0</v>
      </c>
    </row>
    <row r="59" spans="2:15" hidden="1" x14ac:dyDescent="0.55000000000000004">
      <c r="B59" s="92" t="s">
        <v>1178</v>
      </c>
      <c r="C59" s="88"/>
      <c r="D59" s="89">
        <f>IF(OR(D54&gt;=1,D55&gt;=1),1,0)</f>
        <v>0</v>
      </c>
      <c r="E59" s="89">
        <f t="shared" ref="E59:O59" si="11">IF(OR(E54&gt;=1,E55&gt;=1),1,0)</f>
        <v>0</v>
      </c>
      <c r="F59" s="89">
        <f t="shared" si="11"/>
        <v>0</v>
      </c>
      <c r="G59" s="89">
        <f t="shared" si="11"/>
        <v>0</v>
      </c>
      <c r="H59" s="89">
        <f t="shared" si="11"/>
        <v>0</v>
      </c>
      <c r="I59" s="89">
        <f t="shared" si="11"/>
        <v>0</v>
      </c>
      <c r="J59" s="89">
        <f t="shared" si="11"/>
        <v>0</v>
      </c>
      <c r="K59" s="89">
        <f t="shared" si="11"/>
        <v>0</v>
      </c>
      <c r="L59" s="89">
        <f t="shared" si="11"/>
        <v>0</v>
      </c>
      <c r="M59" s="89">
        <f t="shared" si="11"/>
        <v>0</v>
      </c>
      <c r="N59" s="89">
        <f t="shared" si="11"/>
        <v>0</v>
      </c>
      <c r="O59" s="89">
        <f t="shared" si="11"/>
        <v>0</v>
      </c>
    </row>
    <row r="60" spans="2:15" hidden="1" x14ac:dyDescent="0.55000000000000004">
      <c r="B60" s="92" t="s">
        <v>1179</v>
      </c>
      <c r="C60" s="88"/>
      <c r="D60" s="89">
        <f>IF(OR(D56&gt;=1,D57&gt;=1),1,0)</f>
        <v>0</v>
      </c>
      <c r="E60" s="89">
        <f t="shared" ref="E60:O60" si="12">IF(OR(E56&gt;=1,E57&gt;=1),1,0)</f>
        <v>0</v>
      </c>
      <c r="F60" s="89">
        <f t="shared" si="12"/>
        <v>0</v>
      </c>
      <c r="G60" s="89">
        <f t="shared" si="12"/>
        <v>0</v>
      </c>
      <c r="H60" s="89">
        <f t="shared" si="12"/>
        <v>0</v>
      </c>
      <c r="I60" s="89">
        <f t="shared" si="12"/>
        <v>0</v>
      </c>
      <c r="J60" s="89">
        <f t="shared" si="12"/>
        <v>0</v>
      </c>
      <c r="K60" s="89">
        <f t="shared" si="12"/>
        <v>0</v>
      </c>
      <c r="L60" s="89">
        <f t="shared" si="12"/>
        <v>0</v>
      </c>
      <c r="M60" s="89">
        <f t="shared" si="12"/>
        <v>0</v>
      </c>
      <c r="N60" s="89">
        <f t="shared" si="12"/>
        <v>0</v>
      </c>
      <c r="O60" s="89">
        <f t="shared" si="12"/>
        <v>0</v>
      </c>
    </row>
    <row r="61" spans="2:15" hidden="1" x14ac:dyDescent="0.55000000000000004">
      <c r="B61" s="134" t="s">
        <v>1174</v>
      </c>
      <c r="C61" s="135"/>
      <c r="D61" s="93">
        <f>D58*D59</f>
        <v>0</v>
      </c>
      <c r="E61" s="93">
        <f t="shared" ref="E61:O61" si="13">E58*E59</f>
        <v>0</v>
      </c>
      <c r="F61" s="93">
        <f t="shared" si="13"/>
        <v>0</v>
      </c>
      <c r="G61" s="93">
        <f t="shared" si="13"/>
        <v>0</v>
      </c>
      <c r="H61" s="93">
        <f t="shared" si="13"/>
        <v>0</v>
      </c>
      <c r="I61" s="93">
        <f t="shared" si="13"/>
        <v>0</v>
      </c>
      <c r="J61" s="93">
        <f t="shared" si="13"/>
        <v>0</v>
      </c>
      <c r="K61" s="93">
        <f t="shared" si="13"/>
        <v>0</v>
      </c>
      <c r="L61" s="93">
        <f t="shared" si="13"/>
        <v>0</v>
      </c>
      <c r="M61" s="93">
        <f t="shared" si="13"/>
        <v>0</v>
      </c>
      <c r="N61" s="93">
        <f t="shared" si="13"/>
        <v>0</v>
      </c>
      <c r="O61" s="93">
        <f t="shared" si="13"/>
        <v>0</v>
      </c>
    </row>
    <row r="62" spans="2:15" hidden="1" x14ac:dyDescent="0.55000000000000004">
      <c r="B62" s="137" t="s">
        <v>1175</v>
      </c>
      <c r="C62" s="138"/>
      <c r="D62" s="94">
        <f>D58*D60</f>
        <v>0</v>
      </c>
      <c r="E62" s="94">
        <f t="shared" ref="E62:O62" si="14">E58*E60</f>
        <v>0</v>
      </c>
      <c r="F62" s="94">
        <f t="shared" si="14"/>
        <v>0</v>
      </c>
      <c r="G62" s="94">
        <f t="shared" si="14"/>
        <v>0</v>
      </c>
      <c r="H62" s="94">
        <f t="shared" si="14"/>
        <v>0</v>
      </c>
      <c r="I62" s="94">
        <f t="shared" si="14"/>
        <v>0</v>
      </c>
      <c r="J62" s="94">
        <f t="shared" si="14"/>
        <v>0</v>
      </c>
      <c r="K62" s="94">
        <f t="shared" si="14"/>
        <v>0</v>
      </c>
      <c r="L62" s="94">
        <f t="shared" si="14"/>
        <v>0</v>
      </c>
      <c r="M62" s="94">
        <f t="shared" si="14"/>
        <v>0</v>
      </c>
      <c r="N62" s="94">
        <f t="shared" si="14"/>
        <v>0</v>
      </c>
      <c r="O62" s="94">
        <f t="shared" si="14"/>
        <v>0</v>
      </c>
    </row>
    <row r="63" spans="2:15" hidden="1" x14ac:dyDescent="0.55000000000000004">
      <c r="B63" s="126" t="s">
        <v>1176</v>
      </c>
      <c r="C63" s="127"/>
      <c r="D63" s="95">
        <f>D59*D60</f>
        <v>0</v>
      </c>
      <c r="E63" s="95">
        <f t="shared" ref="E63:O63" si="15">E59*E60</f>
        <v>0</v>
      </c>
      <c r="F63" s="95">
        <f t="shared" si="15"/>
        <v>0</v>
      </c>
      <c r="G63" s="95">
        <f t="shared" si="15"/>
        <v>0</v>
      </c>
      <c r="H63" s="95">
        <f t="shared" si="15"/>
        <v>0</v>
      </c>
      <c r="I63" s="95">
        <f t="shared" si="15"/>
        <v>0</v>
      </c>
      <c r="J63" s="95">
        <f t="shared" si="15"/>
        <v>0</v>
      </c>
      <c r="K63" s="95">
        <f t="shared" si="15"/>
        <v>0</v>
      </c>
      <c r="L63" s="95">
        <f t="shared" si="15"/>
        <v>0</v>
      </c>
      <c r="M63" s="95">
        <f t="shared" si="15"/>
        <v>0</v>
      </c>
      <c r="N63" s="95">
        <f t="shared" si="15"/>
        <v>0</v>
      </c>
      <c r="O63" s="95">
        <f t="shared" si="15"/>
        <v>0</v>
      </c>
    </row>
    <row r="64" spans="2:15" hidden="1" x14ac:dyDescent="0.55000000000000004">
      <c r="B64" s="42" t="s">
        <v>640</v>
      </c>
      <c r="C64" s="42"/>
      <c r="D64" s="42">
        <f t="shared" ref="D64:O64" si="16">COUNTIF(D52:D57, "&lt;&gt;0")</f>
        <v>0</v>
      </c>
      <c r="E64" s="42">
        <f t="shared" si="16"/>
        <v>0</v>
      </c>
      <c r="F64" s="42">
        <f t="shared" si="16"/>
        <v>0</v>
      </c>
      <c r="G64" s="42">
        <f t="shared" si="16"/>
        <v>0</v>
      </c>
      <c r="H64" s="42">
        <f t="shared" si="16"/>
        <v>0</v>
      </c>
      <c r="I64" s="42">
        <f t="shared" si="16"/>
        <v>0</v>
      </c>
      <c r="J64" s="42">
        <f t="shared" si="16"/>
        <v>0</v>
      </c>
      <c r="K64" s="42">
        <f t="shared" si="16"/>
        <v>0</v>
      </c>
      <c r="L64" s="42">
        <f t="shared" si="16"/>
        <v>0</v>
      </c>
      <c r="M64" s="42">
        <f t="shared" si="16"/>
        <v>0</v>
      </c>
      <c r="N64" s="42">
        <f t="shared" si="16"/>
        <v>0</v>
      </c>
      <c r="O64" s="42">
        <f t="shared" si="16"/>
        <v>0</v>
      </c>
    </row>
    <row r="66" spans="2:58" x14ac:dyDescent="0.55000000000000004">
      <c r="B66" s="128" t="s">
        <v>298</v>
      </c>
      <c r="C66" s="129"/>
      <c r="D66" s="32" t="s">
        <v>288</v>
      </c>
      <c r="E66" s="32" t="s">
        <v>289</v>
      </c>
      <c r="F66" s="32" t="s">
        <v>290</v>
      </c>
      <c r="G66" s="32" t="s">
        <v>291</v>
      </c>
      <c r="H66" s="32" t="s">
        <v>292</v>
      </c>
      <c r="I66" s="32" t="s">
        <v>293</v>
      </c>
      <c r="J66" s="32" t="s">
        <v>294</v>
      </c>
      <c r="K66" s="32" t="s">
        <v>295</v>
      </c>
      <c r="L66" s="32" t="s">
        <v>296</v>
      </c>
      <c r="M66" s="32" t="s">
        <v>297</v>
      </c>
      <c r="N66" s="32" t="s">
        <v>299</v>
      </c>
      <c r="O66" s="32" t="s">
        <v>300</v>
      </c>
      <c r="P66" s="32" t="s">
        <v>301</v>
      </c>
      <c r="Q66" s="32" t="s">
        <v>302</v>
      </c>
      <c r="R66" s="32" t="s">
        <v>303</v>
      </c>
      <c r="S66" s="32" t="s">
        <v>304</v>
      </c>
      <c r="T66" s="32" t="s">
        <v>305</v>
      </c>
      <c r="U66" s="32" t="s">
        <v>306</v>
      </c>
      <c r="V66" s="32" t="s">
        <v>307</v>
      </c>
      <c r="W66" s="32" t="s">
        <v>308</v>
      </c>
      <c r="X66" s="32" t="s">
        <v>309</v>
      </c>
      <c r="Y66" s="32" t="s">
        <v>310</v>
      </c>
      <c r="Z66" s="32" t="s">
        <v>311</v>
      </c>
      <c r="AA66" s="32" t="s">
        <v>312</v>
      </c>
      <c r="AB66" s="32" t="s">
        <v>313</v>
      </c>
      <c r="AC66" s="32" t="s">
        <v>314</v>
      </c>
      <c r="AD66" s="32" t="s">
        <v>315</v>
      </c>
      <c r="AE66" s="32" t="s">
        <v>316</v>
      </c>
      <c r="AF66" s="32" t="s">
        <v>317</v>
      </c>
      <c r="AG66" s="32" t="s">
        <v>318</v>
      </c>
      <c r="AH66" s="32" t="s">
        <v>319</v>
      </c>
      <c r="AI66" s="32" t="s">
        <v>320</v>
      </c>
      <c r="AJ66" s="32" t="s">
        <v>321</v>
      </c>
      <c r="AK66" s="32" t="s">
        <v>322</v>
      </c>
    </row>
    <row r="67" spans="2:58" x14ac:dyDescent="0.55000000000000004">
      <c r="B67" s="139" t="s">
        <v>286</v>
      </c>
      <c r="C67" s="33" t="s">
        <v>281</v>
      </c>
      <c r="D67" s="33">
        <f>COUNTIF('PF144'!AA10:AA153,"PWM0_0")</f>
        <v>0</v>
      </c>
      <c r="E67" s="33">
        <f>COUNTIF('PF144'!AA10:AA153,"PWM0_1")</f>
        <v>0</v>
      </c>
      <c r="F67" s="33">
        <f>COUNTIF('PF144'!AA10:AA153,"PWM0_2")</f>
        <v>0</v>
      </c>
      <c r="G67" s="33">
        <f>COUNTIF('PF144'!AA10:AA153,"PWM0_3")</f>
        <v>0</v>
      </c>
      <c r="H67" s="33">
        <f>COUNTIF('PF144'!AA10:AA153,"PWM0_4")</f>
        <v>0</v>
      </c>
      <c r="I67" s="33">
        <f>COUNTIF('PF144'!AA10:AA153,"PWM0_5")</f>
        <v>0</v>
      </c>
      <c r="J67" s="33">
        <f>COUNTIF('PF144'!AA10:AA153,"PWM0_6")</f>
        <v>0</v>
      </c>
      <c r="K67" s="33">
        <f>COUNTIF('PF144'!AA10:AA153,"PWM0_7")</f>
        <v>0</v>
      </c>
      <c r="L67" s="33">
        <f>COUNTIF('PF144'!AA10:AA153,"PWM0_8")</f>
        <v>0</v>
      </c>
      <c r="M67" s="33">
        <f>COUNTIF('PF144'!AA10:AA153,"PWM0_9")</f>
        <v>0</v>
      </c>
      <c r="N67" s="33">
        <f>COUNTIF('PF144'!AA10:AA153,"PWM0_10")</f>
        <v>0</v>
      </c>
      <c r="O67" s="33">
        <f>COUNTIF('PF144'!AA10:AA153,"PWM0_11")</f>
        <v>0</v>
      </c>
      <c r="P67" s="33">
        <f>COUNTIF('PF144'!AA10:AA153,"PWM0_12")</f>
        <v>0</v>
      </c>
      <c r="Q67" s="33">
        <f>COUNTIF('PF144'!AA10:AA153,"PWM0_13")</f>
        <v>0</v>
      </c>
      <c r="R67" s="33">
        <f>COUNTIF('PF144'!AA10:AA153,"PWM0_14")</f>
        <v>0</v>
      </c>
      <c r="S67" s="33">
        <f>COUNTIF('PF144'!AA10:AA153,"PWM0_15")</f>
        <v>0</v>
      </c>
      <c r="T67" s="33">
        <f>COUNTIF('PF144'!AA10:AA153,"PWM0_16")</f>
        <v>0</v>
      </c>
      <c r="U67" s="33">
        <f>COUNTIF('PF144'!AA10:AA153,"PWM0_17")</f>
        <v>0</v>
      </c>
      <c r="V67" s="33">
        <f>COUNTIF('PF144'!AA10:AA153,"PWM0_18")</f>
        <v>0</v>
      </c>
      <c r="W67" s="33">
        <f>COUNTIF('PF144'!AA10:AA153,"PWM0_19")</f>
        <v>0</v>
      </c>
      <c r="X67" s="33">
        <f>COUNTIF('PF144'!AA10:AA153,"PWM0_20")</f>
        <v>0</v>
      </c>
      <c r="Y67" s="33">
        <f>COUNTIF('PF144'!AA10:AA153,"PWM0_21")</f>
        <v>0</v>
      </c>
      <c r="Z67" s="33">
        <f>COUNTIF('PF144'!AA10:AA153,"PWM0_22")</f>
        <v>0</v>
      </c>
      <c r="AA67" s="33">
        <f>COUNTIF('PF144'!AA10:AA153,"PWM0_23")</f>
        <v>0</v>
      </c>
      <c r="AB67" s="33">
        <f>COUNTIF('PF144'!AA10:AA153,"PWM0_24")</f>
        <v>0</v>
      </c>
      <c r="AC67" s="33">
        <f>COUNTIF('PF144'!AA10:AA153,"PWM0_25")</f>
        <v>0</v>
      </c>
      <c r="AD67" s="33">
        <f>COUNTIF('PF144'!AA10:AA153,"PWM0_26")</f>
        <v>0</v>
      </c>
      <c r="AE67" s="33">
        <f>COUNTIF('PF144'!AA10:AA153,"PWM0_27")</f>
        <v>0</v>
      </c>
      <c r="AF67" s="33">
        <f>COUNTIF('PF144'!AA10:AA153,"PWM0_28")</f>
        <v>0</v>
      </c>
      <c r="AG67" s="33">
        <f>COUNTIF('PF144'!AA10:AA153,"PWM0_29")</f>
        <v>0</v>
      </c>
      <c r="AH67" s="33">
        <f>COUNTIF('PF144'!AA10:AA153,"PWM0_30")</f>
        <v>0</v>
      </c>
      <c r="AI67" s="33">
        <f>COUNTIF('PF144'!AA10:AA153,"PWM0_31")</f>
        <v>0</v>
      </c>
      <c r="AJ67" s="33">
        <f>COUNTIF('PF144'!AA10:AA153,"PWM0_32")</f>
        <v>0</v>
      </c>
      <c r="AK67" s="33">
        <f>COUNTIF('PF144'!AA10:AA153,"PWM0_33")</f>
        <v>0</v>
      </c>
    </row>
    <row r="68" spans="2:58" x14ac:dyDescent="0.55000000000000004">
      <c r="B68" s="140"/>
      <c r="C68" s="33" t="s">
        <v>282</v>
      </c>
      <c r="D68" s="33">
        <f>COUNTIF('PF144'!AA10:AA153,"PWM0_0_N")</f>
        <v>0</v>
      </c>
      <c r="E68" s="33">
        <f>COUNTIF('PF144'!AA10:AA153,"PWM0_1_N")</f>
        <v>0</v>
      </c>
      <c r="F68" s="33">
        <f>COUNTIF('PF144'!AA10:AA153,"PWM0_2_N")</f>
        <v>0</v>
      </c>
      <c r="G68" s="33">
        <f>COUNTIF('PF144'!AA10:AA153,"PWM0_3_N")</f>
        <v>0</v>
      </c>
      <c r="H68" s="33">
        <f>COUNTIF('PF144'!AA10:AA153,"PWM0_4_N")</f>
        <v>0</v>
      </c>
      <c r="I68" s="33">
        <f>COUNTIF('PF144'!AA10:AA153,"PWM0_5_N")</f>
        <v>0</v>
      </c>
      <c r="J68" s="33">
        <f>COUNTIF('PF144'!AA10:AA153,"PWM0_6_N")</f>
        <v>0</v>
      </c>
      <c r="K68" s="33">
        <f>COUNTIF('PF144'!AA10:AA153,"PWM0_7_N")</f>
        <v>0</v>
      </c>
      <c r="L68" s="33">
        <f>COUNTIF('PF144'!AA10:AA153,"PWM0_8_N")</f>
        <v>0</v>
      </c>
      <c r="M68" s="33">
        <f>COUNTIF('PF144'!AA10:AA153,"PWM0_9_N")</f>
        <v>0</v>
      </c>
      <c r="N68" s="33">
        <f>COUNTIF('PF144'!AA10:AA153,"PWM0_10_N")</f>
        <v>0</v>
      </c>
      <c r="O68" s="33">
        <f>COUNTIF('PF144'!AA10:AA153,"PWM0_11_N")</f>
        <v>0</v>
      </c>
      <c r="P68" s="33">
        <f>COUNTIF('PF144'!AA10:AA153,"PWM0_12_N")</f>
        <v>0</v>
      </c>
      <c r="Q68" s="33">
        <f>COUNTIF('PF144'!AA10:AA153,"PWM0_13_N")</f>
        <v>0</v>
      </c>
      <c r="R68" s="33">
        <f>COUNTIF('PF144'!AA10:AA153,"PWM0_14_N")</f>
        <v>0</v>
      </c>
      <c r="S68" s="33">
        <f>COUNTIF('PF144'!AA10:AA153,"PWM0_15_N")</f>
        <v>0</v>
      </c>
      <c r="T68" s="33">
        <f>COUNTIF('PF144'!AA10:AA153,"PWM0_16_N")</f>
        <v>0</v>
      </c>
      <c r="U68" s="33">
        <f>COUNTIF('PF144'!AA10:AA153,"PWM0_17_N")</f>
        <v>0</v>
      </c>
      <c r="V68" s="33">
        <f>COUNTIF('PF144'!AA10:AA153,"PWM0_18_N")</f>
        <v>0</v>
      </c>
      <c r="W68" s="33">
        <f>COUNTIF('PF144'!AA10:AA153,"PWM0_19_N")</f>
        <v>0</v>
      </c>
      <c r="X68" s="33">
        <f>COUNTIF('PF144'!AA10:AA153,"PWM0_20_N")</f>
        <v>0</v>
      </c>
      <c r="Y68" s="33">
        <f>COUNTIF('PF144'!AA10:AA153,"PWM0_21_N")</f>
        <v>0</v>
      </c>
      <c r="Z68" s="33">
        <f>COUNTIF('PF144'!AA10:AA153,"PWM0_22_N")</f>
        <v>0</v>
      </c>
      <c r="AA68" s="33">
        <f>COUNTIF('PF144'!AA10:AA153,"PWM0_23_N")</f>
        <v>0</v>
      </c>
      <c r="AB68" s="33">
        <f>COUNTIF('PF144'!AA10:AA153,"PWM0_24_N")</f>
        <v>0</v>
      </c>
      <c r="AC68" s="33">
        <f>COUNTIF('PF144'!AA10:AA153,"PWM0_25_N")</f>
        <v>0</v>
      </c>
      <c r="AD68" s="33">
        <f>COUNTIF('PF144'!AA10:AA153,"PWM0_26_N")</f>
        <v>0</v>
      </c>
      <c r="AE68" s="33">
        <f>COUNTIF('PF144'!AA10:AA153,"PWM0_27_N")</f>
        <v>0</v>
      </c>
      <c r="AF68" s="33">
        <f>COUNTIF('PF144'!AA10:AA153,"PWM0_28_N")</f>
        <v>0</v>
      </c>
      <c r="AG68" s="33">
        <f>COUNTIF('PF144'!AA10:AA153,"PWM0_29_N")</f>
        <v>0</v>
      </c>
      <c r="AH68" s="33">
        <f>COUNTIF('PF144'!AA10:AA153,"PWM0_30_N")</f>
        <v>0</v>
      </c>
      <c r="AI68" s="33">
        <f>COUNTIF('PF144'!AA10:AA153,"PWM0_31_N")</f>
        <v>0</v>
      </c>
      <c r="AJ68" s="33">
        <f>COUNTIF('PF144'!AA10:AA153,"PWM0_32_N")</f>
        <v>0</v>
      </c>
      <c r="AK68" s="33">
        <f>COUNTIF('PF144'!AA10:AA153,"PWM0_33_N")</f>
        <v>0</v>
      </c>
    </row>
    <row r="69" spans="2:58" ht="20" x14ac:dyDescent="0.55000000000000004">
      <c r="B69" s="86" t="s">
        <v>287</v>
      </c>
      <c r="C69" s="33" t="s">
        <v>1091</v>
      </c>
      <c r="D69" s="33">
        <f>COUNTIF('PF144'!AA10:AA153,"TC0_0_TR")</f>
        <v>0</v>
      </c>
      <c r="E69" s="33">
        <f>COUNTIF('PF144'!AA10:AA153,"TC0_1_TR")</f>
        <v>0</v>
      </c>
      <c r="F69" s="33">
        <f>COUNTIF('PF144'!AA10:AA153,"TC0_2_TR")</f>
        <v>0</v>
      </c>
      <c r="G69" s="33">
        <f>COUNTIF('PF144'!AA10:AA153,"TC0_3_TR")</f>
        <v>0</v>
      </c>
      <c r="H69" s="33">
        <f>COUNTIF('PF144'!AA10:AA153,"TC0_4_TR")</f>
        <v>0</v>
      </c>
      <c r="I69" s="33">
        <f>COUNTIF('PF144'!AA10:AA153,"TC0_5_TR")</f>
        <v>0</v>
      </c>
      <c r="J69" s="33">
        <f>COUNTIF('PF144'!AA10:AA153,"TC0_6_TR")</f>
        <v>0</v>
      </c>
      <c r="K69" s="33">
        <f>COUNTIF('PF144'!AA10:AA153,"TC0_7_TR")</f>
        <v>0</v>
      </c>
      <c r="L69" s="33">
        <f>COUNTIF('PF144'!AA10:AA153,"TC0_8_TR")</f>
        <v>0</v>
      </c>
      <c r="M69" s="33">
        <f>COUNTIF('PF144'!AA10:AA153,"TC0_9_TR")</f>
        <v>0</v>
      </c>
      <c r="N69" s="33">
        <f>COUNTIF('PF144'!AA10:AA153,"TC0_10_TR")</f>
        <v>0</v>
      </c>
      <c r="O69" s="33">
        <f>COUNTIF('PF144'!AA10:AA153,"TC0_11_TR")</f>
        <v>0</v>
      </c>
      <c r="P69" s="33">
        <f>COUNTIF('PF144'!AA10:AA153,"TC0_12_TR")</f>
        <v>0</v>
      </c>
      <c r="Q69" s="33">
        <f>COUNTIF('PF144'!AA10:AA153,"TC0_13_TR")</f>
        <v>0</v>
      </c>
      <c r="R69" s="33">
        <f>COUNTIF('PF144'!AA10:AA153,"TC0_14_TR")</f>
        <v>0</v>
      </c>
      <c r="S69" s="33">
        <f>COUNTIF('PF144'!AA10:AA153,"TC0_15_TR")</f>
        <v>0</v>
      </c>
      <c r="T69" s="33">
        <f>COUNTIF('PF144'!AA10:AA153,"TC0_16_TR")</f>
        <v>0</v>
      </c>
      <c r="U69" s="33">
        <f>COUNTIF('PF144'!AA10:AA153,"TC0_17_TR")</f>
        <v>0</v>
      </c>
      <c r="V69" s="33">
        <f>COUNTIF('PF144'!AA10:AA153,"TC0_18_TR")</f>
        <v>0</v>
      </c>
      <c r="W69" s="33">
        <f>COUNTIF('PF144'!AA10:AA153,"TC0_19_TR")</f>
        <v>0</v>
      </c>
      <c r="X69" s="33">
        <f>COUNTIF('PF144'!AA10:AA153,"TC0_20_TR")</f>
        <v>0</v>
      </c>
      <c r="Y69" s="33">
        <f>COUNTIF('PF144'!AA10:AA153,"TC0_21_TR")</f>
        <v>0</v>
      </c>
      <c r="Z69" s="33">
        <f>COUNTIF('PF144'!AA10:AA153,"TC0_22_TR")</f>
        <v>0</v>
      </c>
      <c r="AA69" s="33">
        <f>COUNTIF('PF144'!AA10:AA153,"TC0_23_TR")</f>
        <v>0</v>
      </c>
      <c r="AB69" s="33">
        <f>COUNTIF('PF144'!AA10:AA153,"TC0_24_TR")</f>
        <v>0</v>
      </c>
      <c r="AC69" s="33">
        <f>COUNTIF('PF144'!AA10:AA153,"TC0_25_TR")</f>
        <v>0</v>
      </c>
      <c r="AD69" s="33">
        <f>COUNTIF('PF144'!AA10:AA153,"TC0_26_TR")</f>
        <v>0</v>
      </c>
      <c r="AE69" s="33">
        <f>COUNTIF('PF144'!AA10:AA153,"TC0_27_TR")</f>
        <v>0</v>
      </c>
      <c r="AF69" s="33">
        <f>COUNTIF('PF144'!AA10:AA153,"TC0_28_TR")</f>
        <v>0</v>
      </c>
      <c r="AG69" s="33">
        <f>COUNTIF('PF144'!AA10:AA153,"TC0_29_TR")</f>
        <v>0</v>
      </c>
      <c r="AH69" s="33">
        <f>COUNTIF('PF144'!AA10:AA153,"TC0_30_TR")</f>
        <v>0</v>
      </c>
      <c r="AI69" s="33">
        <f>COUNTIF('PF144'!AA10:AA153,"TC0_31_TR")</f>
        <v>0</v>
      </c>
      <c r="AJ69" s="33">
        <f>COUNTIF('PF144'!AA10:AA153,"TC0_32_TR")</f>
        <v>0</v>
      </c>
      <c r="AK69" s="33">
        <f>COUNTIF('PF144'!AA10:AA153,"TC0_33_TR")</f>
        <v>0</v>
      </c>
    </row>
    <row r="71" spans="2:58" x14ac:dyDescent="0.55000000000000004">
      <c r="B71" s="128" t="s">
        <v>1122</v>
      </c>
      <c r="C71" s="129"/>
      <c r="D71" s="32" t="s">
        <v>288</v>
      </c>
      <c r="E71" s="32" t="s">
        <v>289</v>
      </c>
      <c r="F71" s="32" t="s">
        <v>290</v>
      </c>
      <c r="G71" s="32" t="s">
        <v>291</v>
      </c>
      <c r="H71" s="32" t="s">
        <v>292</v>
      </c>
      <c r="I71" s="32" t="s">
        <v>293</v>
      </c>
      <c r="J71" s="32" t="s">
        <v>294</v>
      </c>
      <c r="K71" s="32" t="s">
        <v>295</v>
      </c>
      <c r="L71" s="32" t="s">
        <v>296</v>
      </c>
      <c r="M71" s="32" t="s">
        <v>297</v>
      </c>
      <c r="N71" s="32" t="s">
        <v>299</v>
      </c>
      <c r="O71" s="32" t="s">
        <v>300</v>
      </c>
      <c r="P71" s="49"/>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row>
    <row r="72" spans="2:58" x14ac:dyDescent="0.55000000000000004">
      <c r="B72" s="139" t="s">
        <v>286</v>
      </c>
      <c r="C72" s="33" t="s">
        <v>281</v>
      </c>
      <c r="D72" s="33">
        <f>COUNTIF('PF144'!AA10:AA153,"PWM0_M_0")</f>
        <v>0</v>
      </c>
      <c r="E72" s="33">
        <f>COUNTIF('PF144'!AA10:AA153,"PWM0_M_1")</f>
        <v>0</v>
      </c>
      <c r="F72" s="33">
        <f>COUNTIF('PF144'!AA10:AA153,"PWM0_M_2")</f>
        <v>0</v>
      </c>
      <c r="G72" s="33">
        <f>COUNTIF('PF144'!AA10:AA153,"PWM0_M_3")</f>
        <v>0</v>
      </c>
      <c r="H72" s="33">
        <f>COUNTIF('PF144'!AA10:AA153,"PWM0_M_4")</f>
        <v>0</v>
      </c>
      <c r="I72" s="33">
        <f>COUNTIF('PF144'!AA10:AA153,"PWM0_M_5")</f>
        <v>0</v>
      </c>
      <c r="J72" s="33">
        <f>COUNTIF('PF144'!AA10:AA153,"PWM0_M_6")</f>
        <v>0</v>
      </c>
      <c r="K72" s="33">
        <f>COUNTIF('PF144'!AA10:AA153,"PWM0_M_7")</f>
        <v>0</v>
      </c>
      <c r="L72" s="33">
        <f>COUNTIF('PF144'!AA10:AA153,"PWM0_M_8")</f>
        <v>0</v>
      </c>
      <c r="M72" s="33">
        <f>COUNTIF('PF144'!AA10:AA153,"PWM0_M_9")</f>
        <v>0</v>
      </c>
      <c r="N72" s="33">
        <f>COUNTIF('PF144'!AA10:AA153,"PWM0_M_10")</f>
        <v>0</v>
      </c>
      <c r="O72" s="33">
        <f>COUNTIF('PF144'!AA10:AA153,"PWM0_M_11")</f>
        <v>0</v>
      </c>
      <c r="P72" s="50"/>
    </row>
    <row r="73" spans="2:58" x14ac:dyDescent="0.55000000000000004">
      <c r="B73" s="140"/>
      <c r="C73" s="33" t="s">
        <v>282</v>
      </c>
      <c r="D73" s="33">
        <f>COUNTIF('PF144'!AA10:AA153,"PWM0_M_0_N")</f>
        <v>0</v>
      </c>
      <c r="E73" s="33">
        <f>COUNTIF('PF144'!AA10:AA153,"PWM0_M_1_N")</f>
        <v>0</v>
      </c>
      <c r="F73" s="33">
        <f>COUNTIF('PF144'!AA10:AA153,"PWM0_M_2_N")</f>
        <v>0</v>
      </c>
      <c r="G73" s="33">
        <f>COUNTIF('PF144'!AA10:AA153,"PWM0_M_3_N")</f>
        <v>0</v>
      </c>
      <c r="H73" s="33">
        <f>COUNTIF('PF144'!AA10:AA153,"PWM0_M_4_N")</f>
        <v>0</v>
      </c>
      <c r="I73" s="33">
        <f>COUNTIF('PF144'!AA10:AA153,"PWM0_M_5_N")</f>
        <v>0</v>
      </c>
      <c r="J73" s="33">
        <f>COUNTIF('PF144'!AA10:AA153,"PWM0_M_6_N")</f>
        <v>0</v>
      </c>
      <c r="K73" s="33">
        <f>COUNTIF('PF144'!AA10:AA153,"PWM0_M_7_N")</f>
        <v>0</v>
      </c>
      <c r="L73" s="33">
        <f>COUNTIF('PF144'!AA10:AA153,"PWM0_M_8_N")</f>
        <v>0</v>
      </c>
      <c r="M73" s="33">
        <f>COUNTIF('PF144'!AA10:AA153,"PWM0_M_9_N")</f>
        <v>0</v>
      </c>
      <c r="N73" s="33">
        <f>COUNTIF('PF144'!AA10:AA153,"PWM0_M_10_N")</f>
        <v>0</v>
      </c>
      <c r="O73" s="33">
        <f>COUNTIF('PF144'!AA10:AA153,"PWM0_M_11_N")</f>
        <v>0</v>
      </c>
      <c r="P73" s="50"/>
    </row>
    <row r="75" spans="2:58" x14ac:dyDescent="0.55000000000000004">
      <c r="B75" s="128" t="s">
        <v>1123</v>
      </c>
      <c r="C75" s="129"/>
      <c r="D75" s="32" t="s">
        <v>288</v>
      </c>
      <c r="E75" s="32" t="s">
        <v>289</v>
      </c>
      <c r="F75" s="32" t="s">
        <v>290</v>
      </c>
      <c r="G75" s="32" t="s">
        <v>291</v>
      </c>
      <c r="H75" s="32" t="s">
        <v>292</v>
      </c>
      <c r="I75" s="32" t="s">
        <v>293</v>
      </c>
      <c r="J75" s="32" t="s">
        <v>294</v>
      </c>
      <c r="K75" s="32" t="s">
        <v>295</v>
      </c>
      <c r="L75" s="32" t="s">
        <v>296</v>
      </c>
      <c r="M75" s="32" t="s">
        <v>297</v>
      </c>
      <c r="N75" s="32" t="s">
        <v>299</v>
      </c>
      <c r="O75" s="32" t="s">
        <v>300</v>
      </c>
      <c r="P75" s="32" t="s">
        <v>301</v>
      </c>
      <c r="Q75" s="32" t="s">
        <v>302</v>
      </c>
      <c r="R75" s="32" t="s">
        <v>303</v>
      </c>
      <c r="S75" s="32" t="s">
        <v>304</v>
      </c>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row>
    <row r="76" spans="2:58" x14ac:dyDescent="0.55000000000000004">
      <c r="B76" s="139" t="s">
        <v>286</v>
      </c>
      <c r="C76" s="33" t="s">
        <v>281</v>
      </c>
      <c r="D76" s="33">
        <f>COUNTIF('PF144'!AA10:AA153,"PWM0_H_0")</f>
        <v>0</v>
      </c>
      <c r="E76" s="33">
        <f>COUNTIF('PF144'!AA10:AA153,"PWM0_H_1")</f>
        <v>0</v>
      </c>
      <c r="F76" s="33">
        <f>COUNTIF('PF144'!AA10:AA153,"PWM0_H_2")</f>
        <v>0</v>
      </c>
      <c r="G76" s="33">
        <f>COUNTIF('PF144'!AA10:AA153,"PWM0_H_3")</f>
        <v>0</v>
      </c>
      <c r="H76" s="33">
        <f>COUNTIF('PF144'!AA10:AA153,"PWM0_H_4")</f>
        <v>0</v>
      </c>
      <c r="I76" s="33">
        <f>COUNTIF('PF144'!AA10:AA153,"PWM0_H_5")</f>
        <v>0</v>
      </c>
      <c r="J76" s="33">
        <f>COUNTIF('PF144'!AA10:AA153,"PWM0_H_6")</f>
        <v>0</v>
      </c>
      <c r="K76" s="33">
        <f>COUNTIF('PF144'!AA10:AA153,"PWM0_H_7")</f>
        <v>0</v>
      </c>
      <c r="L76" s="33">
        <f>COUNTIF('PF144'!AA10:AA153,"PWM0_H_8")</f>
        <v>0</v>
      </c>
      <c r="M76" s="33">
        <f>COUNTIF('PF144'!AA10:AA153,"PWM0_H_9")</f>
        <v>0</v>
      </c>
      <c r="N76" s="33">
        <f>COUNTIF('PF144'!AA10:AA153,"PWM0_H_10")</f>
        <v>0</v>
      </c>
      <c r="O76" s="33">
        <f>COUNTIF('PF144'!AA10:AA153,"PWM0_H_11")</f>
        <v>0</v>
      </c>
      <c r="P76" s="33">
        <f>COUNTIF('PF144'!AA10:AA153,"PWM0_H_12")</f>
        <v>0</v>
      </c>
      <c r="Q76" s="33">
        <f>COUNTIF('PF144'!AA10:AA153,"PWM0_H_13")</f>
        <v>0</v>
      </c>
      <c r="R76" s="33">
        <f>COUNTIF('PF144'!AA10:AA153,"PWM0_H_14")</f>
        <v>0</v>
      </c>
      <c r="S76" s="33">
        <f>COUNTIF('PF144'!AA10:AA153,"PWM0_H_15")</f>
        <v>0</v>
      </c>
    </row>
    <row r="77" spans="2:58" x14ac:dyDescent="0.55000000000000004">
      <c r="B77" s="140"/>
      <c r="C77" s="33" t="s">
        <v>282</v>
      </c>
      <c r="D77" s="33">
        <f>COUNTIF('PF144'!AA10:AA153,"PWM0_H_0_N")</f>
        <v>0</v>
      </c>
      <c r="E77" s="33">
        <f>COUNTIF('PF144'!AA10:AA153,"PWM0_H_1_N")</f>
        <v>0</v>
      </c>
      <c r="F77" s="33">
        <f>COUNTIF('PF144'!AA10:AA153,"PWM0_H_2_N")</f>
        <v>0</v>
      </c>
      <c r="G77" s="33">
        <f>COUNTIF('PF144'!AA10:AA153,"PWM0_H_3_N")</f>
        <v>0</v>
      </c>
      <c r="H77" s="33">
        <f>COUNTIF('PF144'!AA10:AA153,"PWM0_H_4_N")</f>
        <v>0</v>
      </c>
      <c r="I77" s="33">
        <f>COUNTIF('PF144'!AA10:AA153,"PWM0_H_5_N")</f>
        <v>0</v>
      </c>
      <c r="J77" s="33">
        <f>COUNTIF('PF144'!AA10:AA153,"PWM0_H_6_N")</f>
        <v>0</v>
      </c>
      <c r="K77" s="33">
        <f>COUNTIF('PF144'!AA10:AA153,"PWM0_H_7_N")</f>
        <v>0</v>
      </c>
      <c r="L77" s="33">
        <f>COUNTIF('PF144'!AA10:AA153,"PWM0_H_8_N")</f>
        <v>0</v>
      </c>
      <c r="M77" s="33">
        <f>COUNTIF('PF144'!AA10:AA153,"PWM0_H_9_N")</f>
        <v>0</v>
      </c>
      <c r="N77" s="33">
        <f>COUNTIF('PF144'!AA10:AA153,"PWM0_H_10_N")</f>
        <v>0</v>
      </c>
      <c r="O77" s="33">
        <f>COUNTIF('PF144'!AA10:AA153,"PWM0_H_11_N")</f>
        <v>0</v>
      </c>
      <c r="P77" s="33">
        <f>COUNTIF('PF144'!AA10:AA153,"PWM0_H_12_N")</f>
        <v>0</v>
      </c>
      <c r="Q77" s="33">
        <f>COUNTIF('PF144'!AA10:AA153,"PWM0_H_13_N")</f>
        <v>0</v>
      </c>
      <c r="R77" s="33">
        <f>COUNTIF('PF144'!AA10:AA153,"PWM0_H_14_N")</f>
        <v>0</v>
      </c>
      <c r="S77" s="33">
        <f>COUNTIF('PF144'!AA10:AA153,"PWM0_H_15_N")</f>
        <v>0</v>
      </c>
    </row>
    <row r="78" spans="2:58" ht="20" x14ac:dyDescent="0.55000000000000004">
      <c r="B78" s="86" t="s">
        <v>287</v>
      </c>
      <c r="C78" s="33" t="s">
        <v>1091</v>
      </c>
      <c r="D78" s="33">
        <f>COUNTIF('PF144'!AA10:AA153,"TC0_H_0_TR")</f>
        <v>0</v>
      </c>
      <c r="E78" s="33">
        <f>COUNTIF('PF144'!AA10:AA153,"TC0_H_1_TR")</f>
        <v>0</v>
      </c>
      <c r="F78" s="33">
        <f>COUNTIF('PF144'!AA10:AA153,"TC0_H_2_TR")</f>
        <v>0</v>
      </c>
      <c r="G78" s="33">
        <f>COUNTIF('PF144'!AA10:AA153,"TC0_H_3_TR")</f>
        <v>0</v>
      </c>
      <c r="H78" s="33">
        <f>COUNTIF('PF144'!AA10:AA153,"TC0_H_4_TR")</f>
        <v>0</v>
      </c>
      <c r="I78" s="33">
        <f>COUNTIF('PF144'!AA10:AA153,"TC0_H_5_TR")</f>
        <v>0</v>
      </c>
      <c r="J78" s="33">
        <f>COUNTIF('PF144'!AA10:AA153,"TC0_H_6_TR")</f>
        <v>0</v>
      </c>
      <c r="K78" s="33">
        <f>COUNTIF('PF144'!AA10:AA153,"TC0_H_7_TR")</f>
        <v>0</v>
      </c>
      <c r="L78" s="33">
        <f>COUNTIF('PF144'!AA10:AA153,"TC0_H_8_TR")</f>
        <v>0</v>
      </c>
      <c r="M78" s="33">
        <f>COUNTIF('PF144'!AA10:AA153,"TC0_H_9_TR")</f>
        <v>0</v>
      </c>
      <c r="N78" s="33">
        <f>COUNTIF('PF144'!AA10:AA153,"TC0_H_10_TR")</f>
        <v>0</v>
      </c>
      <c r="O78" s="33">
        <f>COUNTIF('PF144'!AA10:AA153,"TC0_H_11_TR")</f>
        <v>0</v>
      </c>
      <c r="P78" s="33">
        <f>COUNTIF('PF144'!AA10:AA153,"TC0_H_12_TR")</f>
        <v>0</v>
      </c>
      <c r="Q78" s="33">
        <f>COUNTIF('PF144'!AA10:AA153,"TC0_H_13_TR")</f>
        <v>0</v>
      </c>
      <c r="R78" s="33">
        <f>COUNTIF('PF144'!AA10:AA153,"TC0_H_14_TR")</f>
        <v>0</v>
      </c>
      <c r="S78" s="33">
        <f>COUNTIF('PF144'!AA10:AA153,"TC0_H_15_TR")</f>
        <v>0</v>
      </c>
    </row>
    <row r="79" spans="2:58" ht="10" customHeight="1" x14ac:dyDescent="0.55000000000000004"/>
    <row r="81" spans="2:5" x14ac:dyDescent="0.55000000000000004">
      <c r="B81" s="128" t="s">
        <v>278</v>
      </c>
      <c r="C81" s="129"/>
      <c r="D81" s="32" t="s">
        <v>279</v>
      </c>
      <c r="E81" s="32" t="s">
        <v>280</v>
      </c>
    </row>
    <row r="82" spans="2:5" x14ac:dyDescent="0.55000000000000004">
      <c r="B82" s="121" t="s">
        <v>273</v>
      </c>
      <c r="C82" s="33" t="s">
        <v>323</v>
      </c>
      <c r="D82" s="33">
        <f>COUNTIF('PF144'!AA10:AA153,"ADC[0]_0")</f>
        <v>0</v>
      </c>
      <c r="E82" s="33">
        <f>COUNTIF('PF144'!AA10:AA153,"ADC[1]_0")</f>
        <v>0</v>
      </c>
    </row>
    <row r="83" spans="2:5" x14ac:dyDescent="0.55000000000000004">
      <c r="B83" s="122"/>
      <c r="C83" s="33" t="s">
        <v>324</v>
      </c>
      <c r="D83" s="33">
        <f>COUNTIF('PF144'!AA10:AA153,"ADC[0]_1")</f>
        <v>0</v>
      </c>
      <c r="E83" s="33">
        <f>COUNTIF('PF144'!AA10:AA153,"ADC[1]_1")</f>
        <v>0</v>
      </c>
    </row>
    <row r="84" spans="2:5" x14ac:dyDescent="0.55000000000000004">
      <c r="B84" s="122"/>
      <c r="C84" s="33" t="s">
        <v>325</v>
      </c>
      <c r="D84" s="33">
        <f>COUNTIF('PF144'!AA10:AA153,"ADC[0]_2")</f>
        <v>0</v>
      </c>
      <c r="E84" s="33">
        <f>COUNTIF('PF144'!AA10:AA153,"ADC[1]_2")</f>
        <v>0</v>
      </c>
    </row>
    <row r="85" spans="2:5" x14ac:dyDescent="0.55000000000000004">
      <c r="B85" s="122"/>
      <c r="C85" s="33" t="s">
        <v>326</v>
      </c>
      <c r="D85" s="33">
        <f>COUNTIF('PF144'!AA10:AA153,"ADC[0]_3")</f>
        <v>0</v>
      </c>
      <c r="E85" s="33">
        <f>COUNTIF('PF144'!AA10:AA153,"ADC[1]_3")</f>
        <v>0</v>
      </c>
    </row>
    <row r="86" spans="2:5" x14ac:dyDescent="0.55000000000000004">
      <c r="B86" s="122"/>
      <c r="C86" s="33" t="s">
        <v>327</v>
      </c>
      <c r="D86" s="33">
        <f>COUNTIF('PF144'!AA10:AA153,"ADC[0]_4")</f>
        <v>0</v>
      </c>
      <c r="E86" s="33">
        <f>COUNTIF('PF144'!AA10:AA153,"ADC[1]_4")</f>
        <v>0</v>
      </c>
    </row>
    <row r="87" spans="2:5" x14ac:dyDescent="0.55000000000000004">
      <c r="B87" s="122"/>
      <c r="C87" s="33" t="s">
        <v>328</v>
      </c>
      <c r="D87" s="33">
        <f>COUNTIF('PF144'!AA10:AA153,"ADC[0]_5")</f>
        <v>0</v>
      </c>
      <c r="E87" s="33">
        <f>COUNTIF('PF144'!AA10:AA153,"ADC[1]_5")</f>
        <v>0</v>
      </c>
    </row>
    <row r="88" spans="2:5" x14ac:dyDescent="0.55000000000000004">
      <c r="B88" s="122"/>
      <c r="C88" s="33" t="s">
        <v>329</v>
      </c>
      <c r="D88" s="33">
        <f>COUNTIF('PF144'!AA10:AA153,"ADC[0]_6")</f>
        <v>0</v>
      </c>
      <c r="E88" s="33">
        <f>COUNTIF('PF144'!AA10:AA153,"ADC[1]_6")</f>
        <v>0</v>
      </c>
    </row>
    <row r="89" spans="2:5" x14ac:dyDescent="0.55000000000000004">
      <c r="B89" s="122"/>
      <c r="C89" s="33" t="s">
        <v>330</v>
      </c>
      <c r="D89" s="33">
        <f>COUNTIF('PF144'!AA10:AA153,"ADC[0]_7")</f>
        <v>0</v>
      </c>
      <c r="E89" s="33">
        <f>COUNTIF('PF144'!AA10:AA153,"ADC[1]_7")</f>
        <v>0</v>
      </c>
    </row>
    <row r="90" spans="2:5" x14ac:dyDescent="0.55000000000000004">
      <c r="B90" s="122"/>
      <c r="C90" s="33" t="s">
        <v>331</v>
      </c>
      <c r="D90" s="33">
        <f>COUNTIF('PF144'!AA10:AA153,"ADC[0]_8")</f>
        <v>0</v>
      </c>
      <c r="E90" s="33">
        <f>COUNTIF('PF144'!AA10:AA153,"ADC[1]_8")</f>
        <v>0</v>
      </c>
    </row>
    <row r="91" spans="2:5" x14ac:dyDescent="0.55000000000000004">
      <c r="B91" s="122"/>
      <c r="C91" s="33" t="s">
        <v>332</v>
      </c>
      <c r="D91" s="33">
        <f>COUNTIF('PF144'!AA10:AA153,"ADC[0]_9")</f>
        <v>0</v>
      </c>
      <c r="E91" s="33">
        <f>COUNTIF('PF144'!AA10:AA153,"ADC[1]_9")</f>
        <v>0</v>
      </c>
    </row>
    <row r="92" spans="2:5" x14ac:dyDescent="0.55000000000000004">
      <c r="B92" s="122"/>
      <c r="C92" s="33" t="s">
        <v>333</v>
      </c>
      <c r="D92" s="33">
        <f>COUNTIF('PF144'!AA10:AA153,"ADC[0]_10")</f>
        <v>0</v>
      </c>
      <c r="E92" s="33">
        <f>COUNTIF('PF144'!AA10:AA153,"ADC[1]_10")</f>
        <v>0</v>
      </c>
    </row>
    <row r="93" spans="2:5" x14ac:dyDescent="0.55000000000000004">
      <c r="B93" s="122"/>
      <c r="C93" s="33" t="s">
        <v>334</v>
      </c>
      <c r="D93" s="33">
        <f>COUNTIF('PF144'!AA10:AA153,"ADC[0]_11")</f>
        <v>0</v>
      </c>
      <c r="E93" s="33">
        <f>COUNTIF('PF144'!AA10:AA153,"ADC[1]_11")</f>
        <v>0</v>
      </c>
    </row>
    <row r="94" spans="2:5" x14ac:dyDescent="0.55000000000000004">
      <c r="B94" s="122"/>
      <c r="C94" s="33" t="s">
        <v>335</v>
      </c>
      <c r="D94" s="33">
        <f>COUNTIF('PF144'!AA10:AA153,"ADC[0]_12")</f>
        <v>0</v>
      </c>
      <c r="E94" s="33">
        <f>COUNTIF('PF144'!AA10:AA153,"ADC[1]_12")</f>
        <v>0</v>
      </c>
    </row>
    <row r="95" spans="2:5" x14ac:dyDescent="0.55000000000000004">
      <c r="B95" s="122"/>
      <c r="C95" s="33" t="s">
        <v>336</v>
      </c>
      <c r="D95" s="33">
        <f>COUNTIF('PF144'!AA10:AA153,"ADC[0]_13")</f>
        <v>0</v>
      </c>
      <c r="E95" s="33">
        <f>COUNTIF('PF144'!AA10:AA153,"ADC[1]_13")</f>
        <v>0</v>
      </c>
    </row>
    <row r="96" spans="2:5" x14ac:dyDescent="0.55000000000000004">
      <c r="B96" s="122"/>
      <c r="C96" s="33" t="s">
        <v>337</v>
      </c>
      <c r="D96" s="33">
        <f>COUNTIF('PF144'!AA10:AA153,"ADC[0]_14")</f>
        <v>0</v>
      </c>
      <c r="E96" s="33">
        <f>COUNTIF('PF144'!AA10:AA153,"ADC[1]_14")</f>
        <v>0</v>
      </c>
    </row>
    <row r="97" spans="2:5" x14ac:dyDescent="0.55000000000000004">
      <c r="B97" s="122"/>
      <c r="C97" s="33" t="s">
        <v>338</v>
      </c>
      <c r="D97" s="33">
        <f>COUNTIF('PF144'!AA10:AA153,"ADC[0]_15")</f>
        <v>0</v>
      </c>
      <c r="E97" s="33">
        <f>COUNTIF('PF144'!AA10:AA153,"ADC[1]_15")</f>
        <v>0</v>
      </c>
    </row>
    <row r="98" spans="2:5" x14ac:dyDescent="0.55000000000000004">
      <c r="B98" s="122"/>
      <c r="C98" s="33" t="s">
        <v>339</v>
      </c>
      <c r="D98" s="33">
        <f>COUNTIF('PF144'!AA10:AA153,"ADC[0]_16")</f>
        <v>0</v>
      </c>
      <c r="E98" s="33">
        <f>COUNTIF('PF144'!AA10:AA153,"ADC[1]_16")</f>
        <v>0</v>
      </c>
    </row>
    <row r="99" spans="2:5" x14ac:dyDescent="0.55000000000000004">
      <c r="B99" s="122"/>
      <c r="C99" s="33" t="s">
        <v>340</v>
      </c>
      <c r="D99" s="33">
        <f>COUNTIF('PF144'!AA10:AA153,"ADC[0]_17")</f>
        <v>0</v>
      </c>
      <c r="E99" s="33">
        <f>COUNTIF('PF144'!AA10:AA153,"ADC[1]_17")</f>
        <v>0</v>
      </c>
    </row>
    <row r="100" spans="2:5" x14ac:dyDescent="0.55000000000000004">
      <c r="B100" s="122"/>
      <c r="C100" s="33" t="s">
        <v>341</v>
      </c>
      <c r="D100" s="33">
        <f>COUNTIF('PF144'!AA10:AA153,"ADC[0]_18")</f>
        <v>0</v>
      </c>
      <c r="E100" s="33">
        <f>COUNTIF('PF144'!AA10:AA153,"ADC[1]_18")</f>
        <v>0</v>
      </c>
    </row>
    <row r="101" spans="2:5" x14ac:dyDescent="0.55000000000000004">
      <c r="B101" s="122"/>
      <c r="C101" s="33" t="s">
        <v>342</v>
      </c>
      <c r="D101" s="33">
        <f>COUNTIF('PF144'!AA10:AA153,"ADC[0]_19")</f>
        <v>0</v>
      </c>
      <c r="E101" s="33">
        <f>COUNTIF('PF144'!AA10:AA153,"ADC[1]_19")</f>
        <v>0</v>
      </c>
    </row>
    <row r="102" spans="2:5" x14ac:dyDescent="0.55000000000000004">
      <c r="B102" s="122"/>
      <c r="C102" s="33" t="s">
        <v>343</v>
      </c>
      <c r="D102" s="33">
        <f>COUNTIF('PF144'!AA10:AA153,"ADC[0]_20")</f>
        <v>0</v>
      </c>
      <c r="E102" s="33">
        <f>COUNTIF('PF144'!AA10:AA153,"ADC[1]_20")</f>
        <v>0</v>
      </c>
    </row>
    <row r="103" spans="2:5" x14ac:dyDescent="0.55000000000000004">
      <c r="B103" s="122"/>
      <c r="C103" s="33" t="s">
        <v>344</v>
      </c>
      <c r="D103" s="33">
        <f>COUNTIF('PF144'!AA10:AA153,"ADC[0]_21")</f>
        <v>0</v>
      </c>
      <c r="E103" s="33">
        <f>COUNTIF('PF144'!AA10:AA153,"ADC[1]_21")</f>
        <v>0</v>
      </c>
    </row>
    <row r="104" spans="2:5" x14ac:dyDescent="0.55000000000000004">
      <c r="B104" s="122"/>
      <c r="C104" s="33" t="s">
        <v>345</v>
      </c>
      <c r="D104" s="33">
        <f>COUNTIF('PF144'!AA10:AA153,"ADC[0]_22")</f>
        <v>0</v>
      </c>
      <c r="E104" s="33">
        <f>COUNTIF('PF144'!AA10:AA153,"ADC[1]_22")</f>
        <v>0</v>
      </c>
    </row>
    <row r="105" spans="2:5" x14ac:dyDescent="0.55000000000000004">
      <c r="B105" s="123"/>
      <c r="C105" s="33" t="s">
        <v>346</v>
      </c>
      <c r="D105" s="33">
        <f>COUNTIF('PF144'!AA10:AA153,"ADC[0]_23")</f>
        <v>0</v>
      </c>
      <c r="E105" s="33">
        <f>COUNTIF('PF144'!AA10:AA153,"ADC[1]_23")</f>
        <v>0</v>
      </c>
    </row>
    <row r="108" spans="2:5" x14ac:dyDescent="0.55000000000000004">
      <c r="B108" s="128" t="s">
        <v>643</v>
      </c>
      <c r="C108" s="129"/>
      <c r="D108" s="32" t="s">
        <v>645</v>
      </c>
      <c r="E108" s="32" t="s">
        <v>646</v>
      </c>
    </row>
    <row r="109" spans="2:5" x14ac:dyDescent="0.55000000000000004">
      <c r="B109" s="121" t="s">
        <v>273</v>
      </c>
      <c r="C109" s="33" t="s">
        <v>269</v>
      </c>
      <c r="D109" s="33">
        <f>COUNTIF('PF144'!AA10:AA153,"CXPI0_RX")</f>
        <v>0</v>
      </c>
      <c r="E109" s="33">
        <f>COUNTIF('PF144'!AA10:AA153,"CXPI1_RX")</f>
        <v>0</v>
      </c>
    </row>
    <row r="110" spans="2:5" x14ac:dyDescent="0.55000000000000004">
      <c r="B110" s="122"/>
      <c r="C110" s="33" t="s">
        <v>268</v>
      </c>
      <c r="D110" s="33">
        <f>COUNTIF('PF144'!AA10:AA153,"CXPI0_TX")</f>
        <v>0</v>
      </c>
      <c r="E110" s="33">
        <f>COUNTIF('PF144'!AA10:AA153,"CXPI1_TX")</f>
        <v>0</v>
      </c>
    </row>
    <row r="111" spans="2:5" x14ac:dyDescent="0.55000000000000004">
      <c r="B111" s="141"/>
      <c r="C111" s="33" t="s">
        <v>644</v>
      </c>
      <c r="D111" s="33">
        <f>COUNTIF('PF144'!AA10:AA153,"CXPI0_EN")</f>
        <v>0</v>
      </c>
      <c r="E111" s="33">
        <f>COUNTIF('PF144'!AA10:AA153,"CXPI1_EN")</f>
        <v>0</v>
      </c>
    </row>
    <row r="114" spans="2:5" x14ac:dyDescent="0.55000000000000004">
      <c r="B114" s="128" t="s">
        <v>1094</v>
      </c>
      <c r="C114" s="129"/>
      <c r="D114" s="32" t="s">
        <v>1095</v>
      </c>
      <c r="E114" s="32" t="s">
        <v>1108</v>
      </c>
    </row>
    <row r="115" spans="2:5" x14ac:dyDescent="0.55000000000000004">
      <c r="B115" s="121" t="s">
        <v>273</v>
      </c>
      <c r="C115" s="33" t="s">
        <v>1125</v>
      </c>
      <c r="D115" s="33">
        <f>COUNTIF('PF144'!AA10:AA153,"TDM_RX_FSYNC[0] (0)")</f>
        <v>0</v>
      </c>
      <c r="E115" s="33">
        <f>COUNTIF('PF144'!AA10:AA153,"TDM_RX_FSYNC[1] (0)")</f>
        <v>0</v>
      </c>
    </row>
    <row r="116" spans="2:5" x14ac:dyDescent="0.55000000000000004">
      <c r="B116" s="122"/>
      <c r="C116" s="33" t="s">
        <v>1162</v>
      </c>
      <c r="D116" s="33">
        <f>COUNTIF('PF144'!AA10:AA153,"TDM_RX_FSYNC[0] (1)")</f>
        <v>0</v>
      </c>
      <c r="E116" s="33">
        <f>COUNTIF('PF144'!AA10:AA153,"TDM_RX_FSYNC[1] (1)")</f>
        <v>0</v>
      </c>
    </row>
    <row r="117" spans="2:5" x14ac:dyDescent="0.55000000000000004">
      <c r="B117" s="161"/>
      <c r="C117" s="33" t="s">
        <v>1127</v>
      </c>
      <c r="D117" s="33">
        <f>COUNTIF('PF144'!AA10:AA153,"TDM_RX_MCK[0] (0)")</f>
        <v>0</v>
      </c>
      <c r="E117" s="33">
        <f>COUNTIF('PF144'!AA10:AA153,"TDM_RX_MCK[1] (0)")</f>
        <v>0</v>
      </c>
    </row>
    <row r="118" spans="2:5" x14ac:dyDescent="0.55000000000000004">
      <c r="B118" s="161"/>
      <c r="C118" s="33" t="s">
        <v>1163</v>
      </c>
      <c r="D118" s="33">
        <f>COUNTIF('PF144'!AA10:AA153,"TDM_RX_MCK[0] (1)")</f>
        <v>0</v>
      </c>
      <c r="E118" s="33">
        <f>COUNTIF('PF144'!AA10:AA153,"TDM_RX_MCK[1] (1)")</f>
        <v>0</v>
      </c>
    </row>
    <row r="119" spans="2:5" x14ac:dyDescent="0.55000000000000004">
      <c r="B119" s="161"/>
      <c r="C119" s="33" t="s">
        <v>1129</v>
      </c>
      <c r="D119" s="33">
        <f>COUNTIF('PF144'!AA10:AA153,"TDM_RX_SCK[0] (0)")</f>
        <v>0</v>
      </c>
      <c r="E119" s="33">
        <f>COUNTIF('PF144'!AA10:AA153,"TDM_RX_SCK[1] (0)")</f>
        <v>0</v>
      </c>
    </row>
    <row r="120" spans="2:5" x14ac:dyDescent="0.55000000000000004">
      <c r="B120" s="161"/>
      <c r="C120" s="33" t="s">
        <v>1164</v>
      </c>
      <c r="D120" s="33">
        <f>COUNTIF('PF144'!AA10:AA153,"TDM_RX_SCK[0] (1)")</f>
        <v>0</v>
      </c>
      <c r="E120" s="33">
        <f>COUNTIF('PF144'!AA10:AA153,"TDM_RX_SCK[1] (1)")</f>
        <v>0</v>
      </c>
    </row>
    <row r="121" spans="2:5" x14ac:dyDescent="0.55000000000000004">
      <c r="B121" s="161"/>
      <c r="C121" s="33" t="s">
        <v>1131</v>
      </c>
      <c r="D121" s="33">
        <f>COUNTIF('PF144'!AA10:AA153,"TDM_RX_SD[0] (0)")</f>
        <v>0</v>
      </c>
      <c r="E121" s="33">
        <f>COUNTIF('PF144'!AA10:AA153,"TDM_RX_SD[1] (0)")</f>
        <v>0</v>
      </c>
    </row>
    <row r="122" spans="2:5" x14ac:dyDescent="0.55000000000000004">
      <c r="B122" s="161"/>
      <c r="C122" s="33" t="s">
        <v>1165</v>
      </c>
      <c r="D122" s="33">
        <f>COUNTIF('PF144'!AA10:AA153,"TDM_RX_SD[0] (1)")</f>
        <v>0</v>
      </c>
      <c r="E122" s="33">
        <f>COUNTIF('PF144'!AA10:AA153,"TDM_RX_SD[1] (1)")</f>
        <v>0</v>
      </c>
    </row>
    <row r="123" spans="2:5" x14ac:dyDescent="0.55000000000000004">
      <c r="B123" s="161"/>
      <c r="C123" s="33" t="s">
        <v>1133</v>
      </c>
      <c r="D123" s="33">
        <f>COUNTIF('PF144'!AA10:AA153,"TDM_TX_FSYNC[0] (0)")</f>
        <v>0</v>
      </c>
      <c r="E123" s="33">
        <f>COUNTIF('PF144'!AA10:AA153,"TDM_TX_FSYNC[1] (0)")</f>
        <v>0</v>
      </c>
    </row>
    <row r="124" spans="2:5" x14ac:dyDescent="0.55000000000000004">
      <c r="B124" s="161"/>
      <c r="C124" s="33" t="s">
        <v>1166</v>
      </c>
      <c r="D124" s="33">
        <f>COUNTIF('PF144'!AA10:AA153,"TDM_TX_FSYNC[0] (1)")</f>
        <v>0</v>
      </c>
      <c r="E124" s="33">
        <f>COUNTIF('PF144'!AA10:AA153,"TDM_TX_FSYNC[1] (1)")</f>
        <v>0</v>
      </c>
    </row>
    <row r="125" spans="2:5" x14ac:dyDescent="0.55000000000000004">
      <c r="B125" s="161"/>
      <c r="C125" s="33" t="s">
        <v>1135</v>
      </c>
      <c r="D125" s="33">
        <f>COUNTIF('PF144'!AA10:AA153,"TDM_TX_MCK[0] (0)")</f>
        <v>0</v>
      </c>
      <c r="E125" s="33">
        <f>COUNTIF('PF144'!AA10:AA153,"TDM_TX_MCK[1] (0)")</f>
        <v>0</v>
      </c>
    </row>
    <row r="126" spans="2:5" x14ac:dyDescent="0.55000000000000004">
      <c r="B126" s="161"/>
      <c r="C126" s="33" t="s">
        <v>1167</v>
      </c>
      <c r="D126" s="33">
        <f>COUNTIF('PF144'!AA10:AA153,"TDM_TX_MCK[0] (1)")</f>
        <v>0</v>
      </c>
      <c r="E126" s="33">
        <f>COUNTIF('PF144'!AA10:AA153,"TDM_TX_MCK[1] (1)")</f>
        <v>0</v>
      </c>
    </row>
    <row r="127" spans="2:5" x14ac:dyDescent="0.55000000000000004">
      <c r="B127" s="161"/>
      <c r="C127" s="33" t="s">
        <v>1137</v>
      </c>
      <c r="D127" s="33">
        <f>COUNTIF('PF144'!AA10:AA153,"TDM_TX_SCK[0] (0)")</f>
        <v>0</v>
      </c>
      <c r="E127" s="33">
        <f>COUNTIF('PF144'!AA10:AA153,"TDM_TX_SCK[1] (0)")</f>
        <v>0</v>
      </c>
    </row>
    <row r="128" spans="2:5" x14ac:dyDescent="0.55000000000000004">
      <c r="B128" s="161"/>
      <c r="C128" s="33" t="s">
        <v>1168</v>
      </c>
      <c r="D128" s="33">
        <f>COUNTIF('PF144'!AA10:AA153,"TDM_TX_SCK[0] (1)")</f>
        <v>0</v>
      </c>
      <c r="E128" s="33">
        <f>COUNTIF('PF144'!AA10:AA153,"TDM_TX_SCK[1] (1)")</f>
        <v>0</v>
      </c>
    </row>
    <row r="129" spans="2:5" x14ac:dyDescent="0.55000000000000004">
      <c r="B129" s="161"/>
      <c r="C129" s="33" t="s">
        <v>1139</v>
      </c>
      <c r="D129" s="33">
        <f>COUNTIF('PF144'!AA10:AA153,"TDM_TX_SD[0] (0)")</f>
        <v>0</v>
      </c>
      <c r="E129" s="33">
        <f>COUNTIF('PF144'!AA10:AA153,"TDM_TX_SD[1] (0)")</f>
        <v>0</v>
      </c>
    </row>
    <row r="130" spans="2:5" ht="10" customHeight="1" x14ac:dyDescent="0.55000000000000004">
      <c r="B130" s="141"/>
      <c r="C130" s="33" t="s">
        <v>1169</v>
      </c>
      <c r="D130" s="33">
        <f>COUNTIF('PF144'!AA10:AA153,"TDM_TX_SD[0] (1)")</f>
        <v>0</v>
      </c>
      <c r="E130" s="33">
        <f>COUNTIF('PF144'!AA10:AA153,"TDM_TX_SD[1] (1)")</f>
        <v>0</v>
      </c>
    </row>
    <row r="131" spans="2:5" ht="10" customHeight="1" x14ac:dyDescent="0.55000000000000004">
      <c r="B131" s="162"/>
    </row>
    <row r="132" spans="2:5" ht="10" hidden="1" customHeight="1" x14ac:dyDescent="0.55000000000000004">
      <c r="B132" s="162"/>
    </row>
    <row r="133" spans="2:5" ht="10" hidden="1" customHeight="1" x14ac:dyDescent="0.55000000000000004">
      <c r="B133" s="128" t="s">
        <v>1094</v>
      </c>
      <c r="C133" s="129"/>
      <c r="D133" s="32" t="s">
        <v>1095</v>
      </c>
      <c r="E133" s="32" t="s">
        <v>1108</v>
      </c>
    </row>
    <row r="134" spans="2:5" ht="10" hidden="1" customHeight="1" x14ac:dyDescent="0.55000000000000004">
      <c r="B134" s="163"/>
      <c r="C134" s="45">
        <v>0</v>
      </c>
      <c r="D134" s="33">
        <f>D115+D117+D119+D121+D123+D125+D127+D129</f>
        <v>0</v>
      </c>
      <c r="E134" s="33">
        <f>E115+E117+E119+E121+E123+E125+E127+E129</f>
        <v>0</v>
      </c>
    </row>
    <row r="135" spans="2:5" ht="10" hidden="1" customHeight="1" x14ac:dyDescent="0.55000000000000004">
      <c r="B135" s="97"/>
      <c r="C135" s="45">
        <v>1</v>
      </c>
      <c r="D135" s="33">
        <f>D116+D118+D120+D122+D124+D126+D128+D130</f>
        <v>0</v>
      </c>
      <c r="E135" s="33">
        <f>E116+E118+E120+E122+E124+E126+E128+E130</f>
        <v>0</v>
      </c>
    </row>
    <row r="136" spans="2:5" hidden="1" x14ac:dyDescent="0.55000000000000004">
      <c r="B136" s="48" t="s">
        <v>640</v>
      </c>
      <c r="C136" s="48"/>
      <c r="D136" s="42">
        <f>COUNTIF(D134:D135, "&lt;&gt;0")</f>
        <v>0</v>
      </c>
      <c r="E136" s="42">
        <f>COUNTIF(E134:E135, "&lt;&gt;0")</f>
        <v>0</v>
      </c>
    </row>
    <row r="137" spans="2:5" hidden="1" x14ac:dyDescent="0.55000000000000004"/>
    <row r="139" spans="2:5" x14ac:dyDescent="0.55000000000000004">
      <c r="B139" s="128" t="s">
        <v>1097</v>
      </c>
      <c r="C139" s="129"/>
      <c r="D139" s="32" t="s">
        <v>1105</v>
      </c>
      <c r="E139" s="32" t="s">
        <v>1106</v>
      </c>
    </row>
    <row r="140" spans="2:5" x14ac:dyDescent="0.55000000000000004">
      <c r="B140" s="121" t="s">
        <v>273</v>
      </c>
      <c r="C140" s="33" t="s">
        <v>1143</v>
      </c>
      <c r="D140" s="33">
        <f>COUNTIF('PF144'!AA10:AA153,"PWM_LINE1_P[0] (0)")</f>
        <v>0</v>
      </c>
      <c r="E140" s="33">
        <f>COUNTIF('PF144'!AA10:AA153,"PWM_LINE1_P[1] (0)")</f>
        <v>0</v>
      </c>
    </row>
    <row r="141" spans="2:5" x14ac:dyDescent="0.55000000000000004">
      <c r="B141" s="122"/>
      <c r="C141" s="33" t="s">
        <v>1170</v>
      </c>
      <c r="D141" s="33">
        <f>COUNTIF('PF144'!AA10:AA153,"PWM_LINE1_P[0] (1)")</f>
        <v>0</v>
      </c>
      <c r="E141" s="33">
        <f>COUNTIF('PF144'!AA10:AA153,"PWM_LINE1_P[1] (1)")</f>
        <v>0</v>
      </c>
    </row>
    <row r="142" spans="2:5" x14ac:dyDescent="0.55000000000000004">
      <c r="B142" s="161"/>
      <c r="C142" s="33" t="s">
        <v>1145</v>
      </c>
      <c r="D142" s="33">
        <f>COUNTIF('PF144'!AA10:AA153,"PWM_LINE1_N[0] (0)")</f>
        <v>0</v>
      </c>
      <c r="E142" s="33">
        <f>COUNTIF('PF144'!AA10:AA153,"PWM_LINE1_N[1] (0)")</f>
        <v>0</v>
      </c>
    </row>
    <row r="143" spans="2:5" x14ac:dyDescent="0.55000000000000004">
      <c r="B143" s="161"/>
      <c r="C143" s="33" t="s">
        <v>1171</v>
      </c>
      <c r="D143" s="33">
        <f>COUNTIF('PF144'!AA10:AA153,"PWM_LINE1_N[0] (1)")</f>
        <v>0</v>
      </c>
      <c r="E143" s="33">
        <f>COUNTIF('PF144'!AA10:AA153,"PWM_LINE1_N[1] (1)")</f>
        <v>0</v>
      </c>
    </row>
    <row r="144" spans="2:5" x14ac:dyDescent="0.55000000000000004">
      <c r="B144" s="161"/>
      <c r="C144" s="33" t="s">
        <v>1147</v>
      </c>
      <c r="D144" s="33">
        <f>COUNTIF('PF144'!AA10:AA153,"PWM_LINE2_P[0] (0)")</f>
        <v>0</v>
      </c>
      <c r="E144" s="33">
        <f>COUNTIF('PF144'!AA10:AA153,"PWM_LINE2_P[1] (0)")</f>
        <v>0</v>
      </c>
    </row>
    <row r="145" spans="2:8" x14ac:dyDescent="0.55000000000000004">
      <c r="B145" s="161"/>
      <c r="C145" s="33" t="s">
        <v>1172</v>
      </c>
      <c r="D145" s="33">
        <f>COUNTIF('PF144'!AA10:AA153,"PWM_LINE2_P[0] (1)")</f>
        <v>0</v>
      </c>
      <c r="E145" s="33">
        <f>COUNTIF('PF144'!AA10:AA153,"PWM_LINE2_P[1] (1)")</f>
        <v>0</v>
      </c>
    </row>
    <row r="146" spans="2:8" x14ac:dyDescent="0.55000000000000004">
      <c r="B146" s="161"/>
      <c r="C146" s="33" t="s">
        <v>1149</v>
      </c>
      <c r="D146" s="33">
        <f>COUNTIF('PF144'!AA10:AA153,"PWM_LINE2_N[0] (0)")</f>
        <v>0</v>
      </c>
      <c r="E146" s="33">
        <f>COUNTIF('PF144'!AA10:AA153,"PWM_LINE2_N[1] (0)")</f>
        <v>0</v>
      </c>
    </row>
    <row r="147" spans="2:8" x14ac:dyDescent="0.55000000000000004">
      <c r="B147" s="161"/>
      <c r="C147" s="33" t="s">
        <v>1173</v>
      </c>
      <c r="D147" s="33">
        <f>COUNTIF('PF144'!AA10:AA153,"PWM_LINE2_N[0] (1)")</f>
        <v>0</v>
      </c>
      <c r="E147" s="33">
        <f>COUNTIF('PF144'!AA10:AA153,"PWM_LINE2_N[1] (1)")</f>
        <v>0</v>
      </c>
    </row>
    <row r="148" spans="2:8" x14ac:dyDescent="0.55000000000000004">
      <c r="B148" s="161"/>
      <c r="C148" s="33" t="s">
        <v>1141</v>
      </c>
      <c r="D148" s="33">
        <f>COUNTIF('PF144'!AA10:AA153,"PWM_MCK[0] (0)")</f>
        <v>0</v>
      </c>
      <c r="E148" s="33">
        <f>COUNTIF('PF144'!AA10:AA153,"PWM_MCK[1] (0)")</f>
        <v>0</v>
      </c>
    </row>
    <row r="149" spans="2:8" ht="10" customHeight="1" x14ac:dyDescent="0.55000000000000004">
      <c r="B149" s="141"/>
      <c r="C149" s="33" t="s">
        <v>1154</v>
      </c>
      <c r="D149" s="33">
        <f>COUNTIF('PF144'!AA10:AA153,"PWM_MCK[0] (1)")</f>
        <v>0</v>
      </c>
      <c r="E149" s="33">
        <f>COUNTIF('PF144'!AA10:AA153,"PWM_MCK[1] (1)")</f>
        <v>0</v>
      </c>
    </row>
    <row r="150" spans="2:8" ht="10" customHeight="1" x14ac:dyDescent="0.55000000000000004">
      <c r="B150" s="162"/>
    </row>
    <row r="151" spans="2:8" ht="10" hidden="1" customHeight="1" x14ac:dyDescent="0.55000000000000004">
      <c r="B151" s="162"/>
    </row>
    <row r="152" spans="2:8" ht="10" hidden="1" customHeight="1" x14ac:dyDescent="0.55000000000000004">
      <c r="B152" s="128" t="s">
        <v>1097</v>
      </c>
      <c r="C152" s="129"/>
      <c r="D152" s="32" t="s">
        <v>1105</v>
      </c>
      <c r="E152" s="32" t="s">
        <v>1106</v>
      </c>
    </row>
    <row r="153" spans="2:8" ht="10" hidden="1" customHeight="1" x14ac:dyDescent="0.55000000000000004">
      <c r="B153" s="163"/>
      <c r="C153" s="45">
        <v>0</v>
      </c>
      <c r="D153" s="33">
        <f>D140+D142+D144+D146+D148</f>
        <v>0</v>
      </c>
      <c r="E153" s="33">
        <f>E140+E142+E144+E146+E148</f>
        <v>0</v>
      </c>
    </row>
    <row r="154" spans="2:8" ht="10" hidden="1" customHeight="1" x14ac:dyDescent="0.55000000000000004">
      <c r="B154" s="97"/>
      <c r="C154" s="45">
        <v>1</v>
      </c>
      <c r="D154" s="33">
        <f>D141+D143+D145+D147+D149</f>
        <v>0</v>
      </c>
      <c r="E154" s="33">
        <f>E141+E143+E145+E147+E149</f>
        <v>0</v>
      </c>
    </row>
    <row r="155" spans="2:8" hidden="1" x14ac:dyDescent="0.55000000000000004">
      <c r="B155" s="48" t="s">
        <v>640</v>
      </c>
      <c r="C155" s="48"/>
      <c r="D155" s="42">
        <f>COUNTIF(D153:D154, "&lt;&gt;0")</f>
        <v>0</v>
      </c>
      <c r="E155" s="42">
        <f>COUNTIF(E153:E154, "&lt;&gt;0")</f>
        <v>0</v>
      </c>
    </row>
    <row r="156" spans="2:8" hidden="1" x14ac:dyDescent="0.55000000000000004"/>
    <row r="158" spans="2:8" x14ac:dyDescent="0.55000000000000004">
      <c r="B158" s="128" t="s">
        <v>1098</v>
      </c>
      <c r="C158" s="129"/>
      <c r="D158" s="32" t="s">
        <v>1099</v>
      </c>
      <c r="E158" s="32" t="s">
        <v>1100</v>
      </c>
      <c r="F158" s="32" t="s">
        <v>1101</v>
      </c>
      <c r="G158" s="32" t="s">
        <v>1102</v>
      </c>
      <c r="H158" s="32" t="s">
        <v>1103</v>
      </c>
    </row>
    <row r="159" spans="2:8" x14ac:dyDescent="0.55000000000000004">
      <c r="B159" s="121" t="s">
        <v>273</v>
      </c>
      <c r="C159" s="33" t="s">
        <v>1151</v>
      </c>
      <c r="D159" s="33">
        <f>COUNTIF('PF144'!AA10:AA153,"SG_AMPL[0] (0)")</f>
        <v>0</v>
      </c>
      <c r="E159" s="33">
        <f>COUNTIF('PF144'!AA10:AA153,"SG_AMPL[1] (0)")</f>
        <v>0</v>
      </c>
      <c r="F159" s="33">
        <f>COUNTIF('PF144'!AA10:AA153,"SG_AMPL[2] (0)")</f>
        <v>0</v>
      </c>
      <c r="G159" s="33">
        <f>COUNTIF('PF144'!AA10:AA153,"SG_AMPL[3] (0)")</f>
        <v>0</v>
      </c>
      <c r="H159" s="33">
        <f>COUNTIF('PF144'!AA10:AA153,"SG_AMPL[4] (0)")</f>
        <v>0</v>
      </c>
    </row>
    <row r="160" spans="2:8" x14ac:dyDescent="0.55000000000000004">
      <c r="B160" s="122"/>
      <c r="C160" s="33" t="s">
        <v>1152</v>
      </c>
      <c r="D160" s="33">
        <f>COUNTIF('PF144'!AA10:AA153,"SG_AMPL[0] (1)")</f>
        <v>0</v>
      </c>
      <c r="E160" s="33">
        <f>COUNTIF('PF144'!AA10:AA153,"SG_AMPL[1] (1)")</f>
        <v>0</v>
      </c>
      <c r="F160" s="33">
        <f>COUNTIF('PF144'!AA10:AA153,"SG_AMPL[2] (1)")</f>
        <v>0</v>
      </c>
      <c r="G160" s="33">
        <f>COUNTIF('PF144'!AA10:AA153,"SG_AMPL[3] (1)")</f>
        <v>0</v>
      </c>
      <c r="H160" s="33">
        <f>COUNTIF('PF144'!AA10:AA153,"SG_AMPL[4] (1)")</f>
        <v>0</v>
      </c>
    </row>
    <row r="161" spans="2:8" x14ac:dyDescent="0.55000000000000004">
      <c r="B161" s="122"/>
      <c r="C161" s="33" t="s">
        <v>1153</v>
      </c>
      <c r="D161" s="33">
        <f>COUNTIF('PF144'!AA10:AA153,"SG_AMPL[0] (2)")</f>
        <v>0</v>
      </c>
      <c r="E161" s="33">
        <f>COUNTIF('PF144'!AA10:AA153,"SG_AMPL[1] (2)")</f>
        <v>0</v>
      </c>
      <c r="F161" s="33">
        <f>COUNTIF('PF144'!AA10:AA153,"SG_AMPL[2] (2)")</f>
        <v>0</v>
      </c>
      <c r="G161" s="33">
        <f>COUNTIF('PF144'!AA10:AA153,"SG_AMPL[3] (2)")</f>
        <v>0</v>
      </c>
      <c r="H161" s="33">
        <f>COUNTIF('PF144'!AA10:AA153,"SG_AMPL[4] (2)")</f>
        <v>0</v>
      </c>
    </row>
    <row r="162" spans="2:8" x14ac:dyDescent="0.55000000000000004">
      <c r="B162" s="161"/>
      <c r="C162" s="33" t="s">
        <v>1141</v>
      </c>
      <c r="D162" s="33">
        <f>COUNTIF('PF144'!AA10:AA153,"SG_MCK[0] (0)")</f>
        <v>0</v>
      </c>
      <c r="E162" s="33">
        <f>COUNTIF('PF144'!AA10:AA153,"SG_MCK[1] (0)")</f>
        <v>0</v>
      </c>
      <c r="F162" s="33">
        <f>COUNTIF('PF144'!AA10:AA153,"SG_MCK[2] (0)")</f>
        <v>0</v>
      </c>
      <c r="G162" s="33">
        <f>COUNTIF('PF144'!AA10:AA153,"SG_MCK[3] (0)")</f>
        <v>0</v>
      </c>
      <c r="H162" s="33">
        <f>COUNTIF('PF144'!AA10:AA153,"SG_MCK[4] (0)")</f>
        <v>0</v>
      </c>
    </row>
    <row r="163" spans="2:8" x14ac:dyDescent="0.55000000000000004">
      <c r="B163" s="161"/>
      <c r="C163" s="33" t="s">
        <v>1154</v>
      </c>
      <c r="D163" s="33">
        <f>COUNTIF('PF144'!AA10:AA153,"SG_MCK[0] (1)")</f>
        <v>0</v>
      </c>
      <c r="E163" s="33">
        <f>COUNTIF('PF144'!AA10:AA153,"SG_MCK[1] (1)")</f>
        <v>0</v>
      </c>
      <c r="F163" s="33">
        <f>COUNTIF('PF144'!AA10:AA153,"SG_MCK[2] (1)")</f>
        <v>0</v>
      </c>
      <c r="G163" s="33">
        <f>COUNTIF('PF144'!AA10:AA153,"SG_MCK[3] (1)")</f>
        <v>0</v>
      </c>
      <c r="H163" s="33">
        <f>COUNTIF('PF144'!AA10:AA153,"SG_MCK[4] (1)")</f>
        <v>0</v>
      </c>
    </row>
    <row r="164" spans="2:8" x14ac:dyDescent="0.55000000000000004">
      <c r="B164" s="161"/>
      <c r="C164" s="33" t="s">
        <v>1155</v>
      </c>
      <c r="D164" s="33">
        <f>COUNTIF('PF144'!AA10:AA153,"SG_MCK[0] (2)")</f>
        <v>0</v>
      </c>
      <c r="E164" s="33">
        <f>COUNTIF('PF144'!AA10:AA153,"SG_MCK[1] (2)")</f>
        <v>0</v>
      </c>
      <c r="F164" s="33">
        <f>COUNTIF('PF144'!AA10:AA153,"SG_MCK[2] (2)")</f>
        <v>0</v>
      </c>
      <c r="G164" s="33">
        <f>COUNTIF('PF144'!AA10:AA153,"SG_MCK[3] (2)")</f>
        <v>0</v>
      </c>
      <c r="H164" s="33">
        <f>COUNTIF('PF144'!AA10:AA153,"SG_MCK[4] (2)")</f>
        <v>0</v>
      </c>
    </row>
    <row r="165" spans="2:8" x14ac:dyDescent="0.55000000000000004">
      <c r="B165" s="161"/>
      <c r="C165" s="33" t="s">
        <v>1156</v>
      </c>
      <c r="D165" s="33">
        <f>COUNTIF('PF144'!AA10:AA153,"SG_TONE[0] (0)")</f>
        <v>0</v>
      </c>
      <c r="E165" s="33">
        <f>COUNTIF('PF144'!AA10:AA153,"SG_TONE[1] (0)")</f>
        <v>0</v>
      </c>
      <c r="F165" s="33">
        <f>COUNTIF('PF144'!AA10:AA153,"SG_TONE[2] (0)")</f>
        <v>0</v>
      </c>
      <c r="G165" s="33">
        <f>COUNTIF('PF144'!AA10:AA153,"SG_TONE[3] (0)")</f>
        <v>0</v>
      </c>
      <c r="H165" s="33">
        <f>COUNTIF('PF144'!AA10:AA153,"SG_TONE[4] (0)")</f>
        <v>0</v>
      </c>
    </row>
    <row r="166" spans="2:8" ht="10" customHeight="1" x14ac:dyDescent="0.55000000000000004">
      <c r="B166" s="161"/>
      <c r="C166" s="33" t="s">
        <v>1157</v>
      </c>
      <c r="D166" s="33">
        <f>COUNTIF('PF144'!AA10:AA153,"SG_TONE[0] (1)")</f>
        <v>0</v>
      </c>
      <c r="E166" s="33">
        <f>COUNTIF('PF144'!AA10:AA153,"SG_TONE[1] (1)")</f>
        <v>0</v>
      </c>
      <c r="F166" s="33">
        <f>COUNTIF('PF144'!AA10:AA153,"SG_TONE[2] (1)")</f>
        <v>0</v>
      </c>
      <c r="G166" s="33">
        <f>COUNTIF('PF144'!AA10:AA153,"SG_TONE[3] (1)")</f>
        <v>0</v>
      </c>
      <c r="H166" s="33">
        <f>COUNTIF('PF144'!AA10:AA153,"SG_TONE[4] (1)")</f>
        <v>0</v>
      </c>
    </row>
    <row r="167" spans="2:8" ht="10" customHeight="1" x14ac:dyDescent="0.55000000000000004">
      <c r="B167" s="141"/>
      <c r="C167" s="33" t="s">
        <v>1158</v>
      </c>
      <c r="D167" s="33">
        <f>COUNTIF('PF144'!AA10:AA153,"SG_TONE[0] (2)")</f>
        <v>0</v>
      </c>
      <c r="E167" s="33">
        <f>COUNTIF('PF144'!AA10:AA153,"SG_TONE[1] (2)")</f>
        <v>0</v>
      </c>
      <c r="F167" s="33">
        <f>COUNTIF('PF144'!AA10:AA153,"SG_TONE[2] (2)")</f>
        <v>0</v>
      </c>
      <c r="G167" s="33">
        <f>COUNTIF('PF144'!AA10:AA153,"SG_TONE[3] (2)")</f>
        <v>0</v>
      </c>
      <c r="H167" s="33">
        <f>COUNTIF('PF144'!AA10:AA153,"SG_TONE[4] (2)")</f>
        <v>0</v>
      </c>
    </row>
    <row r="168" spans="2:8" ht="10" customHeight="1" x14ac:dyDescent="0.55000000000000004">
      <c r="B168" s="162"/>
    </row>
    <row r="169" spans="2:8" ht="10" hidden="1" customHeight="1" x14ac:dyDescent="0.55000000000000004">
      <c r="B169" s="162"/>
    </row>
    <row r="170" spans="2:8" ht="10" hidden="1" customHeight="1" x14ac:dyDescent="0.55000000000000004">
      <c r="B170" s="128" t="s">
        <v>1098</v>
      </c>
      <c r="C170" s="129"/>
      <c r="D170" s="32" t="s">
        <v>1099</v>
      </c>
      <c r="E170" s="32" t="s">
        <v>1100</v>
      </c>
      <c r="F170" s="32" t="s">
        <v>1101</v>
      </c>
      <c r="G170" s="32" t="s">
        <v>1102</v>
      </c>
      <c r="H170" s="32" t="s">
        <v>1103</v>
      </c>
    </row>
    <row r="171" spans="2:8" ht="10" hidden="1" customHeight="1" x14ac:dyDescent="0.55000000000000004">
      <c r="B171" s="163"/>
      <c r="C171" s="45">
        <v>0</v>
      </c>
      <c r="D171" s="33">
        <f>D159+D162+D165</f>
        <v>0</v>
      </c>
      <c r="E171" s="33">
        <f t="shared" ref="E171:H171" si="17">E159+E162+E165</f>
        <v>0</v>
      </c>
      <c r="F171" s="33">
        <f t="shared" si="17"/>
        <v>0</v>
      </c>
      <c r="G171" s="33">
        <f t="shared" si="17"/>
        <v>0</v>
      </c>
      <c r="H171" s="33">
        <f t="shared" si="17"/>
        <v>0</v>
      </c>
    </row>
    <row r="172" spans="2:8" ht="10" hidden="1" customHeight="1" x14ac:dyDescent="0.55000000000000004">
      <c r="B172" s="164"/>
      <c r="C172" s="45">
        <v>1</v>
      </c>
      <c r="D172" s="33">
        <f>D160+D163+D166</f>
        <v>0</v>
      </c>
      <c r="E172" s="33">
        <f t="shared" ref="E172:H172" si="18">E160+E163+E166</f>
        <v>0</v>
      </c>
      <c r="F172" s="33">
        <f t="shared" si="18"/>
        <v>0</v>
      </c>
      <c r="G172" s="33">
        <f t="shared" si="18"/>
        <v>0</v>
      </c>
      <c r="H172" s="33">
        <f t="shared" si="18"/>
        <v>0</v>
      </c>
    </row>
    <row r="173" spans="2:8" ht="10" hidden="1" customHeight="1" x14ac:dyDescent="0.55000000000000004">
      <c r="B173" s="97"/>
      <c r="C173" s="45">
        <v>2</v>
      </c>
      <c r="D173" s="33">
        <f>D161+D164+D167</f>
        <v>0</v>
      </c>
      <c r="E173" s="33">
        <f t="shared" ref="E173:H173" si="19">E161+E164+E167</f>
        <v>0</v>
      </c>
      <c r="F173" s="33">
        <f t="shared" si="19"/>
        <v>0</v>
      </c>
      <c r="G173" s="33">
        <f t="shared" si="19"/>
        <v>0</v>
      </c>
      <c r="H173" s="33">
        <f t="shared" si="19"/>
        <v>0</v>
      </c>
    </row>
    <row r="174" spans="2:8" ht="10" hidden="1" customHeight="1" x14ac:dyDescent="0.55000000000000004">
      <c r="B174" s="48" t="s">
        <v>640</v>
      </c>
      <c r="C174" s="48"/>
      <c r="D174" s="42">
        <f>COUNTIF(D171:D173, "&lt;&gt;0")</f>
        <v>0</v>
      </c>
      <c r="E174" s="42">
        <f t="shared" ref="E174:H174" si="20">COUNTIF(E171:E173, "&lt;&gt;0")</f>
        <v>0</v>
      </c>
      <c r="F174" s="42">
        <f t="shared" si="20"/>
        <v>0</v>
      </c>
      <c r="G174" s="42">
        <f t="shared" si="20"/>
        <v>0</v>
      </c>
      <c r="H174" s="42">
        <f t="shared" si="20"/>
        <v>0</v>
      </c>
    </row>
    <row r="175" spans="2:8" ht="10" hidden="1" customHeight="1" x14ac:dyDescent="0.55000000000000004">
      <c r="B175" s="162"/>
    </row>
    <row r="177" spans="2:21" ht="14.5" x14ac:dyDescent="0.35">
      <c r="B177" s="159" t="s">
        <v>653</v>
      </c>
      <c r="C177" s="159"/>
      <c r="D177" s="159"/>
      <c r="E177" s="159"/>
      <c r="F177" s="159"/>
      <c r="G177" s="159"/>
      <c r="H177" s="159"/>
      <c r="I177" s="159"/>
      <c r="J177" s="159"/>
      <c r="K177" s="159"/>
      <c r="L177" s="159"/>
      <c r="M177" s="159"/>
      <c r="N177" s="159"/>
      <c r="O177" s="159"/>
      <c r="P177" s="159"/>
      <c r="Q177" s="159"/>
      <c r="R177" s="159"/>
      <c r="S177" s="159"/>
      <c r="T177" s="159"/>
      <c r="U177" s="159"/>
    </row>
    <row r="178" spans="2:21" ht="172" customHeight="1" x14ac:dyDescent="0.55000000000000004">
      <c r="B178" s="160" t="s">
        <v>654</v>
      </c>
      <c r="C178" s="160"/>
      <c r="D178" s="160"/>
      <c r="E178" s="160"/>
      <c r="F178" s="160"/>
      <c r="G178" s="160"/>
      <c r="H178" s="160"/>
      <c r="I178" s="160"/>
      <c r="J178" s="160"/>
      <c r="K178" s="160"/>
      <c r="L178" s="160"/>
      <c r="M178" s="160"/>
      <c r="N178" s="160"/>
      <c r="O178" s="160"/>
      <c r="P178" s="160"/>
      <c r="Q178" s="160"/>
      <c r="R178" s="160"/>
      <c r="S178" s="160"/>
      <c r="T178" s="160"/>
      <c r="U178" s="160"/>
    </row>
  </sheetData>
  <sheetProtection algorithmName="SHA-512" hashValue="AOl6wzH8Exycqce6pV1nhokFrV06Ridk31vMVNh0OZFDP3pO1bCcoNgsQMiscCW1ZBuHdwzBcryyw8E8rXtzFg==" saltValue="kjq3BgpocnxTKYNSc143Fw==" spinCount="100000" sheet="1" objects="1" scenarios="1" formatCells="0" formatColumns="0" formatRows="0" insertColumns="0" insertRows="0" insertHyperlinks="0" deleteColumns="0" deleteRows="0" selectLockedCells="1" sort="0" autoFilter="0" pivotTables="0"/>
  <mergeCells count="35">
    <mergeCell ref="B177:U177"/>
    <mergeCell ref="B178:U178"/>
    <mergeCell ref="B82:B105"/>
    <mergeCell ref="B109:B111"/>
    <mergeCell ref="B114:C114"/>
    <mergeCell ref="B139:C139"/>
    <mergeCell ref="B158:C158"/>
    <mergeCell ref="B115:B130"/>
    <mergeCell ref="B133:C133"/>
    <mergeCell ref="B140:B149"/>
    <mergeCell ref="B152:C152"/>
    <mergeCell ref="B159:B167"/>
    <mergeCell ref="B170:C170"/>
    <mergeCell ref="B108:C108"/>
    <mergeCell ref="B17:B19"/>
    <mergeCell ref="B22:C22"/>
    <mergeCell ref="B66:C66"/>
    <mergeCell ref="B24:B37"/>
    <mergeCell ref="B38:B45"/>
    <mergeCell ref="B46:B49"/>
    <mergeCell ref="B23:C23"/>
    <mergeCell ref="B61:C61"/>
    <mergeCell ref="B62:C62"/>
    <mergeCell ref="B63:C63"/>
    <mergeCell ref="B7:C7"/>
    <mergeCell ref="B8:B9"/>
    <mergeCell ref="B11:C11"/>
    <mergeCell ref="B12:B13"/>
    <mergeCell ref="B16:C16"/>
    <mergeCell ref="B81:C81"/>
    <mergeCell ref="B67:B68"/>
    <mergeCell ref="B71:C71"/>
    <mergeCell ref="B72:B73"/>
    <mergeCell ref="B75:C75"/>
    <mergeCell ref="B76:B77"/>
  </mergeCells>
  <phoneticPr fontId="3"/>
  <conditionalFormatting sqref="D8:E9">
    <cfRule type="cellIs" dxfId="65" priority="345" operator="greaterThanOrEqual">
      <formula>2</formula>
    </cfRule>
    <cfRule type="cellIs" dxfId="64" priority="350" operator="notEqual">
      <formula>0</formula>
    </cfRule>
  </conditionalFormatting>
  <conditionalFormatting sqref="D12:E13 D14:F14">
    <cfRule type="cellIs" dxfId="63" priority="344" operator="greaterThanOrEqual">
      <formula>2</formula>
    </cfRule>
    <cfRule type="cellIs" dxfId="62" priority="349" operator="notEqual">
      <formula>0</formula>
    </cfRule>
  </conditionalFormatting>
  <conditionalFormatting sqref="D82:E105">
    <cfRule type="cellIs" dxfId="61" priority="334" operator="greaterThanOrEqual">
      <formula>2</formula>
    </cfRule>
    <cfRule type="cellIs" dxfId="60" priority="335" operator="notEqual">
      <formula>0</formula>
    </cfRule>
  </conditionalFormatting>
  <conditionalFormatting sqref="D115:E132">
    <cfRule type="cellIs" dxfId="59" priority="195" operator="greaterThanOrEqual">
      <formula>2</formula>
    </cfRule>
    <cfRule type="cellIs" dxfId="58" priority="196" operator="notEqual">
      <formula>0</formula>
    </cfRule>
  </conditionalFormatting>
  <conditionalFormatting sqref="D134:E135">
    <cfRule type="cellIs" dxfId="57" priority="107" operator="greaterThanOrEqual">
      <formula>2</formula>
    </cfRule>
    <cfRule type="cellIs" dxfId="56" priority="108" operator="notEqual">
      <formula>0</formula>
    </cfRule>
  </conditionalFormatting>
  <conditionalFormatting sqref="D140:E151">
    <cfRule type="cellIs" dxfId="55" priority="175" operator="greaterThanOrEqual">
      <formula>2</formula>
    </cfRule>
    <cfRule type="cellIs" dxfId="54" priority="176" operator="notEqual">
      <formula>0</formula>
    </cfRule>
  </conditionalFormatting>
  <conditionalFormatting sqref="D153:E154">
    <cfRule type="cellIs" dxfId="53" priority="101" operator="greaterThanOrEqual">
      <formula>2</formula>
    </cfRule>
    <cfRule type="cellIs" dxfId="52" priority="102" operator="notEqual">
      <formula>0</formula>
    </cfRule>
  </conditionalFormatting>
  <conditionalFormatting sqref="D109:G111">
    <cfRule type="cellIs" dxfId="51" priority="211" operator="greaterThanOrEqual">
      <formula>2</formula>
    </cfRule>
    <cfRule type="cellIs" dxfId="50" priority="212" operator="notEqual">
      <formula>0</formula>
    </cfRule>
  </conditionalFormatting>
  <conditionalFormatting sqref="D159:H169 D175:H175">
    <cfRule type="cellIs" dxfId="49" priority="115" operator="greaterThanOrEqual">
      <formula>2</formula>
    </cfRule>
    <cfRule type="cellIs" dxfId="48" priority="116" operator="notEqual">
      <formula>0</formula>
    </cfRule>
  </conditionalFormatting>
  <conditionalFormatting sqref="D171:H173">
    <cfRule type="cellIs" dxfId="47" priority="97" operator="greaterThanOrEqual">
      <formula>2</formula>
    </cfRule>
    <cfRule type="cellIs" dxfId="46" priority="98" operator="notEqual">
      <formula>0</formula>
    </cfRule>
  </conditionalFormatting>
  <conditionalFormatting sqref="D17:K20">
    <cfRule type="cellIs" dxfId="45" priority="343" operator="greaterThanOrEqual">
      <formula>2</formula>
    </cfRule>
    <cfRule type="cellIs" dxfId="44" priority="357" operator="notEqual">
      <formula>0</formula>
    </cfRule>
  </conditionalFormatting>
  <conditionalFormatting sqref="D24:O49">
    <cfRule type="cellIs" dxfId="43" priority="221" operator="greaterThanOrEqual">
      <formula>2</formula>
    </cfRule>
    <cfRule type="cellIs" dxfId="42" priority="222" operator="notEqual">
      <formula>0</formula>
    </cfRule>
  </conditionalFormatting>
  <conditionalFormatting sqref="D72:O73">
    <cfRule type="cellIs" dxfId="41" priority="338" operator="greaterThanOrEqual">
      <formula>2</formula>
    </cfRule>
    <cfRule type="cellIs" dxfId="40" priority="339" operator="notEqual">
      <formula>0</formula>
    </cfRule>
  </conditionalFormatting>
  <conditionalFormatting sqref="D76:S78">
    <cfRule type="cellIs" dxfId="39" priority="340" operator="greaterThanOrEqual">
      <formula>2</formula>
    </cfRule>
    <cfRule type="cellIs" dxfId="38" priority="341" operator="notEqual">
      <formula>0</formula>
    </cfRule>
  </conditionalFormatting>
  <conditionalFormatting sqref="D67:AK69">
    <cfRule type="cellIs" dxfId="37" priority="336" operator="greaterThanOrEqual">
      <formula>2</formula>
    </cfRule>
    <cfRule type="cellIs" dxfId="36" priority="337" operator="notEqual">
      <formula>0</formula>
    </cfRule>
  </conditionalFormatting>
  <conditionalFormatting sqref="F23">
    <cfRule type="expression" dxfId="35" priority="10">
      <formula>F63&gt;=1</formula>
    </cfRule>
    <cfRule type="expression" dxfId="34" priority="22">
      <formula>F62&gt;=1</formula>
    </cfRule>
    <cfRule type="expression" dxfId="33" priority="36">
      <formula>F61&gt;=1</formula>
    </cfRule>
  </conditionalFormatting>
  <conditionalFormatting sqref="D23">
    <cfRule type="expression" dxfId="32" priority="12">
      <formula>D63&gt;=1</formula>
    </cfRule>
    <cfRule type="expression" dxfId="31" priority="24">
      <formula>D62&gt;=1</formula>
    </cfRule>
    <cfRule type="expression" dxfId="30" priority="35">
      <formula>D61&gt;=1</formula>
    </cfRule>
  </conditionalFormatting>
  <conditionalFormatting sqref="E23">
    <cfRule type="expression" dxfId="29" priority="11">
      <formula>E63&gt;=1</formula>
    </cfRule>
    <cfRule type="expression" dxfId="28" priority="23">
      <formula>E62&gt;=1</formula>
    </cfRule>
    <cfRule type="expression" dxfId="27" priority="34">
      <formula>E61&gt;=1</formula>
    </cfRule>
  </conditionalFormatting>
  <conditionalFormatting sqref="G23">
    <cfRule type="expression" dxfId="26" priority="9">
      <formula>G63&gt;=1</formula>
    </cfRule>
    <cfRule type="expression" dxfId="25" priority="21">
      <formula>G62&gt;=1</formula>
    </cfRule>
    <cfRule type="expression" dxfId="24" priority="33">
      <formula>G61&gt;=1</formula>
    </cfRule>
  </conditionalFormatting>
  <conditionalFormatting sqref="H23">
    <cfRule type="expression" dxfId="23" priority="8">
      <formula>H63&gt;=1</formula>
    </cfRule>
    <cfRule type="expression" dxfId="22" priority="20">
      <formula>H62&gt;=1</formula>
    </cfRule>
    <cfRule type="expression" dxfId="21" priority="32">
      <formula>H61&gt;=1</formula>
    </cfRule>
  </conditionalFormatting>
  <conditionalFormatting sqref="I23">
    <cfRule type="expression" dxfId="20" priority="7">
      <formula>I63&gt;=1</formula>
    </cfRule>
    <cfRule type="expression" dxfId="19" priority="19">
      <formula>I62&gt;=1</formula>
    </cfRule>
    <cfRule type="expression" dxfId="18" priority="31">
      <formula>I61&gt;=1</formula>
    </cfRule>
  </conditionalFormatting>
  <conditionalFormatting sqref="J23">
    <cfRule type="expression" dxfId="17" priority="6">
      <formula>J63&gt;=1</formula>
    </cfRule>
    <cfRule type="expression" dxfId="16" priority="18">
      <formula>J62&gt;=1</formula>
    </cfRule>
    <cfRule type="expression" dxfId="15" priority="30">
      <formula>J61&gt;=1</formula>
    </cfRule>
  </conditionalFormatting>
  <conditionalFormatting sqref="K23">
    <cfRule type="expression" dxfId="14" priority="5">
      <formula>K63&gt;=1</formula>
    </cfRule>
    <cfRule type="expression" dxfId="13" priority="17">
      <formula>K62&gt;=1</formula>
    </cfRule>
    <cfRule type="expression" dxfId="12" priority="29">
      <formula>K61&gt;=1</formula>
    </cfRule>
  </conditionalFormatting>
  <conditionalFormatting sqref="L23">
    <cfRule type="expression" dxfId="11" priority="4">
      <formula>L63&gt;=1</formula>
    </cfRule>
    <cfRule type="expression" dxfId="10" priority="16">
      <formula>L62&gt;=1</formula>
    </cfRule>
    <cfRule type="expression" dxfId="9" priority="28">
      <formula>L61&gt;=1</formula>
    </cfRule>
  </conditionalFormatting>
  <conditionalFormatting sqref="M23">
    <cfRule type="expression" dxfId="8" priority="3">
      <formula>M63&gt;=1</formula>
    </cfRule>
    <cfRule type="expression" dxfId="7" priority="15">
      <formula>M62&gt;=1</formula>
    </cfRule>
    <cfRule type="expression" dxfId="6" priority="27">
      <formula>M61&gt;=1</formula>
    </cfRule>
  </conditionalFormatting>
  <conditionalFormatting sqref="N23">
    <cfRule type="expression" dxfId="5" priority="2">
      <formula>N63&gt;=1</formula>
    </cfRule>
    <cfRule type="expression" dxfId="4" priority="14">
      <formula>N62&gt;=1</formula>
    </cfRule>
    <cfRule type="expression" dxfId="3" priority="26">
      <formula>N61&gt;=1</formula>
    </cfRule>
  </conditionalFormatting>
  <conditionalFormatting sqref="O23">
    <cfRule type="expression" dxfId="2" priority="1">
      <formula>O63&gt;=1</formula>
    </cfRule>
    <cfRule type="expression" dxfId="1" priority="13">
      <formula>O62&gt;=1</formula>
    </cfRule>
    <cfRule type="expression" dxfId="0" priority="25">
      <formula>O61&gt;=1</formula>
    </cfRule>
  </conditionalFormatting>
  <pageMargins left="0.7" right="0.7" top="0.75" bottom="0.75" header="0.3" footer="0.3"/>
  <pageSetup paperSize="9" orientation="portrait" r:id="rId1"/>
  <ignoredErrors>
    <ignoredError sqref="D14:X15 D70:X74 D76:X80 T75:X75 D8:E13 G8:X13 D21:X21 D16:E20 L20:X20 M16:X19 D22:K22 P22:X22 D51:K51 P51:X51 D106:X107 D81:E105 G81:X105 D108:E112 I108:X112 D24:O37 D50:X50 Q24:X49 D52:X57 D65:X66 D67:AK69 F127:X127 D116:E125 D134:E136 D140:E149 D171:H174 D159:H167 D153:E155 D115:E115 D126:E130 D48:O49 D47:M47 N47:O47 D38:O46 D58:O64" unlocked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F1938-1F15-4002-A2D6-1DE2C1D30707}">
  <dimension ref="A1:AU60"/>
  <sheetViews>
    <sheetView tabSelected="1" zoomScale="75" zoomScaleNormal="75" workbookViewId="0">
      <selection activeCell="P65" sqref="P65"/>
    </sheetView>
  </sheetViews>
  <sheetFormatPr defaultRowHeight="10" x14ac:dyDescent="0.55000000000000004"/>
  <cols>
    <col min="1" max="2" width="8.6640625" style="30"/>
    <col min="3" max="3" width="18.58203125" style="30" customWidth="1"/>
    <col min="4" max="5" width="3.33203125" style="30" customWidth="1"/>
    <col min="6" max="41" width="2.33203125" style="30" customWidth="1"/>
    <col min="42" max="43" width="3.33203125" style="30" customWidth="1"/>
    <col min="44" max="44" width="18.58203125" style="30" customWidth="1"/>
    <col min="45" max="47" width="8.58203125" style="30" customWidth="1"/>
    <col min="48" max="269" width="8.6640625" style="30"/>
    <col min="270" max="270" width="14.33203125" style="30" customWidth="1"/>
    <col min="271" max="272" width="3.33203125" style="30" customWidth="1"/>
    <col min="273" max="297" width="2.4140625" style="30" customWidth="1"/>
    <col min="298" max="299" width="3.33203125" style="30" customWidth="1"/>
    <col min="300" max="300" width="14.33203125" style="30" customWidth="1"/>
    <col min="301" max="525" width="8.6640625" style="30"/>
    <col min="526" max="526" width="14.33203125" style="30" customWidth="1"/>
    <col min="527" max="528" width="3.33203125" style="30" customWidth="1"/>
    <col min="529" max="553" width="2.4140625" style="30" customWidth="1"/>
    <col min="554" max="555" width="3.33203125" style="30" customWidth="1"/>
    <col min="556" max="556" width="14.33203125" style="30" customWidth="1"/>
    <col min="557" max="781" width="8.6640625" style="30"/>
    <col min="782" max="782" width="14.33203125" style="30" customWidth="1"/>
    <col min="783" max="784" width="3.33203125" style="30" customWidth="1"/>
    <col min="785" max="809" width="2.4140625" style="30" customWidth="1"/>
    <col min="810" max="811" width="3.33203125" style="30" customWidth="1"/>
    <col min="812" max="812" width="14.33203125" style="30" customWidth="1"/>
    <col min="813" max="1037" width="8.6640625" style="30"/>
    <col min="1038" max="1038" width="14.33203125" style="30" customWidth="1"/>
    <col min="1039" max="1040" width="3.33203125" style="30" customWidth="1"/>
    <col min="1041" max="1065" width="2.4140625" style="30" customWidth="1"/>
    <col min="1066" max="1067" width="3.33203125" style="30" customWidth="1"/>
    <col min="1068" max="1068" width="14.33203125" style="30" customWidth="1"/>
    <col min="1069" max="1293" width="8.6640625" style="30"/>
    <col min="1294" max="1294" width="14.33203125" style="30" customWidth="1"/>
    <col min="1295" max="1296" width="3.33203125" style="30" customWidth="1"/>
    <col min="1297" max="1321" width="2.4140625" style="30" customWidth="1"/>
    <col min="1322" max="1323" width="3.33203125" style="30" customWidth="1"/>
    <col min="1324" max="1324" width="14.33203125" style="30" customWidth="1"/>
    <col min="1325" max="1549" width="8.6640625" style="30"/>
    <col min="1550" max="1550" width="14.33203125" style="30" customWidth="1"/>
    <col min="1551" max="1552" width="3.33203125" style="30" customWidth="1"/>
    <col min="1553" max="1577" width="2.4140625" style="30" customWidth="1"/>
    <col min="1578" max="1579" width="3.33203125" style="30" customWidth="1"/>
    <col min="1580" max="1580" width="14.33203125" style="30" customWidth="1"/>
    <col min="1581" max="1805" width="8.6640625" style="30"/>
    <col min="1806" max="1806" width="14.33203125" style="30" customWidth="1"/>
    <col min="1807" max="1808" width="3.33203125" style="30" customWidth="1"/>
    <col min="1809" max="1833" width="2.4140625" style="30" customWidth="1"/>
    <col min="1834" max="1835" width="3.33203125" style="30" customWidth="1"/>
    <col min="1836" max="1836" width="14.33203125" style="30" customWidth="1"/>
    <col min="1837" max="2061" width="8.6640625" style="30"/>
    <col min="2062" max="2062" width="14.33203125" style="30" customWidth="1"/>
    <col min="2063" max="2064" width="3.33203125" style="30" customWidth="1"/>
    <col min="2065" max="2089" width="2.4140625" style="30" customWidth="1"/>
    <col min="2090" max="2091" width="3.33203125" style="30" customWidth="1"/>
    <col min="2092" max="2092" width="14.33203125" style="30" customWidth="1"/>
    <col min="2093" max="2317" width="8.6640625" style="30"/>
    <col min="2318" max="2318" width="14.33203125" style="30" customWidth="1"/>
    <col min="2319" max="2320" width="3.33203125" style="30" customWidth="1"/>
    <col min="2321" max="2345" width="2.4140625" style="30" customWidth="1"/>
    <col min="2346" max="2347" width="3.33203125" style="30" customWidth="1"/>
    <col min="2348" max="2348" width="14.33203125" style="30" customWidth="1"/>
    <col min="2349" max="2573" width="8.6640625" style="30"/>
    <col min="2574" max="2574" width="14.33203125" style="30" customWidth="1"/>
    <col min="2575" max="2576" width="3.33203125" style="30" customWidth="1"/>
    <col min="2577" max="2601" width="2.4140625" style="30" customWidth="1"/>
    <col min="2602" max="2603" width="3.33203125" style="30" customWidth="1"/>
    <col min="2604" max="2604" width="14.33203125" style="30" customWidth="1"/>
    <col min="2605" max="2829" width="8.6640625" style="30"/>
    <col min="2830" max="2830" width="14.33203125" style="30" customWidth="1"/>
    <col min="2831" max="2832" width="3.33203125" style="30" customWidth="1"/>
    <col min="2833" max="2857" width="2.4140625" style="30" customWidth="1"/>
    <col min="2858" max="2859" width="3.33203125" style="30" customWidth="1"/>
    <col min="2860" max="2860" width="14.33203125" style="30" customWidth="1"/>
    <col min="2861" max="3085" width="8.6640625" style="30"/>
    <col min="3086" max="3086" width="14.33203125" style="30" customWidth="1"/>
    <col min="3087" max="3088" width="3.33203125" style="30" customWidth="1"/>
    <col min="3089" max="3113" width="2.4140625" style="30" customWidth="1"/>
    <col min="3114" max="3115" width="3.33203125" style="30" customWidth="1"/>
    <col min="3116" max="3116" width="14.33203125" style="30" customWidth="1"/>
    <col min="3117" max="3341" width="8.6640625" style="30"/>
    <col min="3342" max="3342" width="14.33203125" style="30" customWidth="1"/>
    <col min="3343" max="3344" width="3.33203125" style="30" customWidth="1"/>
    <col min="3345" max="3369" width="2.4140625" style="30" customWidth="1"/>
    <col min="3370" max="3371" width="3.33203125" style="30" customWidth="1"/>
    <col min="3372" max="3372" width="14.33203125" style="30" customWidth="1"/>
    <col min="3373" max="3597" width="8.6640625" style="30"/>
    <col min="3598" max="3598" width="14.33203125" style="30" customWidth="1"/>
    <col min="3599" max="3600" width="3.33203125" style="30" customWidth="1"/>
    <col min="3601" max="3625" width="2.4140625" style="30" customWidth="1"/>
    <col min="3626" max="3627" width="3.33203125" style="30" customWidth="1"/>
    <col min="3628" max="3628" width="14.33203125" style="30" customWidth="1"/>
    <col min="3629" max="3853" width="8.6640625" style="30"/>
    <col min="3854" max="3854" width="14.33203125" style="30" customWidth="1"/>
    <col min="3855" max="3856" width="3.33203125" style="30" customWidth="1"/>
    <col min="3857" max="3881" width="2.4140625" style="30" customWidth="1"/>
    <col min="3882" max="3883" width="3.33203125" style="30" customWidth="1"/>
    <col min="3884" max="3884" width="14.33203125" style="30" customWidth="1"/>
    <col min="3885" max="4109" width="8.6640625" style="30"/>
    <col min="4110" max="4110" width="14.33203125" style="30" customWidth="1"/>
    <col min="4111" max="4112" width="3.33203125" style="30" customWidth="1"/>
    <col min="4113" max="4137" width="2.4140625" style="30" customWidth="1"/>
    <col min="4138" max="4139" width="3.33203125" style="30" customWidth="1"/>
    <col min="4140" max="4140" width="14.33203125" style="30" customWidth="1"/>
    <col min="4141" max="4365" width="8.6640625" style="30"/>
    <col min="4366" max="4366" width="14.33203125" style="30" customWidth="1"/>
    <col min="4367" max="4368" width="3.33203125" style="30" customWidth="1"/>
    <col min="4369" max="4393" width="2.4140625" style="30" customWidth="1"/>
    <col min="4394" max="4395" width="3.33203125" style="30" customWidth="1"/>
    <col min="4396" max="4396" width="14.33203125" style="30" customWidth="1"/>
    <col min="4397" max="4621" width="8.6640625" style="30"/>
    <col min="4622" max="4622" width="14.33203125" style="30" customWidth="1"/>
    <col min="4623" max="4624" width="3.33203125" style="30" customWidth="1"/>
    <col min="4625" max="4649" width="2.4140625" style="30" customWidth="1"/>
    <col min="4650" max="4651" width="3.33203125" style="30" customWidth="1"/>
    <col min="4652" max="4652" width="14.33203125" style="30" customWidth="1"/>
    <col min="4653" max="4877" width="8.6640625" style="30"/>
    <col min="4878" max="4878" width="14.33203125" style="30" customWidth="1"/>
    <col min="4879" max="4880" width="3.33203125" style="30" customWidth="1"/>
    <col min="4881" max="4905" width="2.4140625" style="30" customWidth="1"/>
    <col min="4906" max="4907" width="3.33203125" style="30" customWidth="1"/>
    <col min="4908" max="4908" width="14.33203125" style="30" customWidth="1"/>
    <col min="4909" max="5133" width="8.6640625" style="30"/>
    <col min="5134" max="5134" width="14.33203125" style="30" customWidth="1"/>
    <col min="5135" max="5136" width="3.33203125" style="30" customWidth="1"/>
    <col min="5137" max="5161" width="2.4140625" style="30" customWidth="1"/>
    <col min="5162" max="5163" width="3.33203125" style="30" customWidth="1"/>
    <col min="5164" max="5164" width="14.33203125" style="30" customWidth="1"/>
    <col min="5165" max="5389" width="8.6640625" style="30"/>
    <col min="5390" max="5390" width="14.33203125" style="30" customWidth="1"/>
    <col min="5391" max="5392" width="3.33203125" style="30" customWidth="1"/>
    <col min="5393" max="5417" width="2.4140625" style="30" customWidth="1"/>
    <col min="5418" max="5419" width="3.33203125" style="30" customWidth="1"/>
    <col min="5420" max="5420" width="14.33203125" style="30" customWidth="1"/>
    <col min="5421" max="5645" width="8.6640625" style="30"/>
    <col min="5646" max="5646" width="14.33203125" style="30" customWidth="1"/>
    <col min="5647" max="5648" width="3.33203125" style="30" customWidth="1"/>
    <col min="5649" max="5673" width="2.4140625" style="30" customWidth="1"/>
    <col min="5674" max="5675" width="3.33203125" style="30" customWidth="1"/>
    <col min="5676" max="5676" width="14.33203125" style="30" customWidth="1"/>
    <col min="5677" max="5901" width="8.6640625" style="30"/>
    <col min="5902" max="5902" width="14.33203125" style="30" customWidth="1"/>
    <col min="5903" max="5904" width="3.33203125" style="30" customWidth="1"/>
    <col min="5905" max="5929" width="2.4140625" style="30" customWidth="1"/>
    <col min="5930" max="5931" width="3.33203125" style="30" customWidth="1"/>
    <col min="5932" max="5932" width="14.33203125" style="30" customWidth="1"/>
    <col min="5933" max="6157" width="8.6640625" style="30"/>
    <col min="6158" max="6158" width="14.33203125" style="30" customWidth="1"/>
    <col min="6159" max="6160" width="3.33203125" style="30" customWidth="1"/>
    <col min="6161" max="6185" width="2.4140625" style="30" customWidth="1"/>
    <col min="6186" max="6187" width="3.33203125" style="30" customWidth="1"/>
    <col min="6188" max="6188" width="14.33203125" style="30" customWidth="1"/>
    <col min="6189" max="6413" width="8.6640625" style="30"/>
    <col min="6414" max="6414" width="14.33203125" style="30" customWidth="1"/>
    <col min="6415" max="6416" width="3.33203125" style="30" customWidth="1"/>
    <col min="6417" max="6441" width="2.4140625" style="30" customWidth="1"/>
    <col min="6442" max="6443" width="3.33203125" style="30" customWidth="1"/>
    <col min="6444" max="6444" width="14.33203125" style="30" customWidth="1"/>
    <col min="6445" max="6669" width="8.6640625" style="30"/>
    <col min="6670" max="6670" width="14.33203125" style="30" customWidth="1"/>
    <col min="6671" max="6672" width="3.33203125" style="30" customWidth="1"/>
    <col min="6673" max="6697" width="2.4140625" style="30" customWidth="1"/>
    <col min="6698" max="6699" width="3.33203125" style="30" customWidth="1"/>
    <col min="6700" max="6700" width="14.33203125" style="30" customWidth="1"/>
    <col min="6701" max="6925" width="8.6640625" style="30"/>
    <col min="6926" max="6926" width="14.33203125" style="30" customWidth="1"/>
    <col min="6927" max="6928" width="3.33203125" style="30" customWidth="1"/>
    <col min="6929" max="6953" width="2.4140625" style="30" customWidth="1"/>
    <col min="6954" max="6955" width="3.33203125" style="30" customWidth="1"/>
    <col min="6956" max="6956" width="14.33203125" style="30" customWidth="1"/>
    <col min="6957" max="7181" width="8.6640625" style="30"/>
    <col min="7182" max="7182" width="14.33203125" style="30" customWidth="1"/>
    <col min="7183" max="7184" width="3.33203125" style="30" customWidth="1"/>
    <col min="7185" max="7209" width="2.4140625" style="30" customWidth="1"/>
    <col min="7210" max="7211" width="3.33203125" style="30" customWidth="1"/>
    <col min="7212" max="7212" width="14.33203125" style="30" customWidth="1"/>
    <col min="7213" max="7437" width="8.6640625" style="30"/>
    <col min="7438" max="7438" width="14.33203125" style="30" customWidth="1"/>
    <col min="7439" max="7440" width="3.33203125" style="30" customWidth="1"/>
    <col min="7441" max="7465" width="2.4140625" style="30" customWidth="1"/>
    <col min="7466" max="7467" width="3.33203125" style="30" customWidth="1"/>
    <col min="7468" max="7468" width="14.33203125" style="30" customWidth="1"/>
    <col min="7469" max="7693" width="8.6640625" style="30"/>
    <col min="7694" max="7694" width="14.33203125" style="30" customWidth="1"/>
    <col min="7695" max="7696" width="3.33203125" style="30" customWidth="1"/>
    <col min="7697" max="7721" width="2.4140625" style="30" customWidth="1"/>
    <col min="7722" max="7723" width="3.33203125" style="30" customWidth="1"/>
    <col min="7724" max="7724" width="14.33203125" style="30" customWidth="1"/>
    <col min="7725" max="7949" width="8.6640625" style="30"/>
    <col min="7950" max="7950" width="14.33203125" style="30" customWidth="1"/>
    <col min="7951" max="7952" width="3.33203125" style="30" customWidth="1"/>
    <col min="7953" max="7977" width="2.4140625" style="30" customWidth="1"/>
    <col min="7978" max="7979" width="3.33203125" style="30" customWidth="1"/>
    <col min="7980" max="7980" width="14.33203125" style="30" customWidth="1"/>
    <col min="7981" max="8205" width="8.6640625" style="30"/>
    <col min="8206" max="8206" width="14.33203125" style="30" customWidth="1"/>
    <col min="8207" max="8208" width="3.33203125" style="30" customWidth="1"/>
    <col min="8209" max="8233" width="2.4140625" style="30" customWidth="1"/>
    <col min="8234" max="8235" width="3.33203125" style="30" customWidth="1"/>
    <col min="8236" max="8236" width="14.33203125" style="30" customWidth="1"/>
    <col min="8237" max="8461" width="8.6640625" style="30"/>
    <col min="8462" max="8462" width="14.33203125" style="30" customWidth="1"/>
    <col min="8463" max="8464" width="3.33203125" style="30" customWidth="1"/>
    <col min="8465" max="8489" width="2.4140625" style="30" customWidth="1"/>
    <col min="8490" max="8491" width="3.33203125" style="30" customWidth="1"/>
    <col min="8492" max="8492" width="14.33203125" style="30" customWidth="1"/>
    <col min="8493" max="8717" width="8.6640625" style="30"/>
    <col min="8718" max="8718" width="14.33203125" style="30" customWidth="1"/>
    <col min="8719" max="8720" width="3.33203125" style="30" customWidth="1"/>
    <col min="8721" max="8745" width="2.4140625" style="30" customWidth="1"/>
    <col min="8746" max="8747" width="3.33203125" style="30" customWidth="1"/>
    <col min="8748" max="8748" width="14.33203125" style="30" customWidth="1"/>
    <col min="8749" max="8973" width="8.6640625" style="30"/>
    <col min="8974" max="8974" width="14.33203125" style="30" customWidth="1"/>
    <col min="8975" max="8976" width="3.33203125" style="30" customWidth="1"/>
    <col min="8977" max="9001" width="2.4140625" style="30" customWidth="1"/>
    <col min="9002" max="9003" width="3.33203125" style="30" customWidth="1"/>
    <col min="9004" max="9004" width="14.33203125" style="30" customWidth="1"/>
    <col min="9005" max="9229" width="8.6640625" style="30"/>
    <col min="9230" max="9230" width="14.33203125" style="30" customWidth="1"/>
    <col min="9231" max="9232" width="3.33203125" style="30" customWidth="1"/>
    <col min="9233" max="9257" width="2.4140625" style="30" customWidth="1"/>
    <col min="9258" max="9259" width="3.33203125" style="30" customWidth="1"/>
    <col min="9260" max="9260" width="14.33203125" style="30" customWidth="1"/>
    <col min="9261" max="9485" width="8.6640625" style="30"/>
    <col min="9486" max="9486" width="14.33203125" style="30" customWidth="1"/>
    <col min="9487" max="9488" width="3.33203125" style="30" customWidth="1"/>
    <col min="9489" max="9513" width="2.4140625" style="30" customWidth="1"/>
    <col min="9514" max="9515" width="3.33203125" style="30" customWidth="1"/>
    <col min="9516" max="9516" width="14.33203125" style="30" customWidth="1"/>
    <col min="9517" max="9741" width="8.6640625" style="30"/>
    <col min="9742" max="9742" width="14.33203125" style="30" customWidth="1"/>
    <col min="9743" max="9744" width="3.33203125" style="30" customWidth="1"/>
    <col min="9745" max="9769" width="2.4140625" style="30" customWidth="1"/>
    <col min="9770" max="9771" width="3.33203125" style="30" customWidth="1"/>
    <col min="9772" max="9772" width="14.33203125" style="30" customWidth="1"/>
    <col min="9773" max="9997" width="8.6640625" style="30"/>
    <col min="9998" max="9998" width="14.33203125" style="30" customWidth="1"/>
    <col min="9999" max="10000" width="3.33203125" style="30" customWidth="1"/>
    <col min="10001" max="10025" width="2.4140625" style="30" customWidth="1"/>
    <col min="10026" max="10027" width="3.33203125" style="30" customWidth="1"/>
    <col min="10028" max="10028" width="14.33203125" style="30" customWidth="1"/>
    <col min="10029" max="10253" width="8.6640625" style="30"/>
    <col min="10254" max="10254" width="14.33203125" style="30" customWidth="1"/>
    <col min="10255" max="10256" width="3.33203125" style="30" customWidth="1"/>
    <col min="10257" max="10281" width="2.4140625" style="30" customWidth="1"/>
    <col min="10282" max="10283" width="3.33203125" style="30" customWidth="1"/>
    <col min="10284" max="10284" width="14.33203125" style="30" customWidth="1"/>
    <col min="10285" max="10509" width="8.6640625" style="30"/>
    <col min="10510" max="10510" width="14.33203125" style="30" customWidth="1"/>
    <col min="10511" max="10512" width="3.33203125" style="30" customWidth="1"/>
    <col min="10513" max="10537" width="2.4140625" style="30" customWidth="1"/>
    <col min="10538" max="10539" width="3.33203125" style="30" customWidth="1"/>
    <col min="10540" max="10540" width="14.33203125" style="30" customWidth="1"/>
    <col min="10541" max="10765" width="8.6640625" style="30"/>
    <col min="10766" max="10766" width="14.33203125" style="30" customWidth="1"/>
    <col min="10767" max="10768" width="3.33203125" style="30" customWidth="1"/>
    <col min="10769" max="10793" width="2.4140625" style="30" customWidth="1"/>
    <col min="10794" max="10795" width="3.33203125" style="30" customWidth="1"/>
    <col min="10796" max="10796" width="14.33203125" style="30" customWidth="1"/>
    <col min="10797" max="11021" width="8.6640625" style="30"/>
    <col min="11022" max="11022" width="14.33203125" style="30" customWidth="1"/>
    <col min="11023" max="11024" width="3.33203125" style="30" customWidth="1"/>
    <col min="11025" max="11049" width="2.4140625" style="30" customWidth="1"/>
    <col min="11050" max="11051" width="3.33203125" style="30" customWidth="1"/>
    <col min="11052" max="11052" width="14.33203125" style="30" customWidth="1"/>
    <col min="11053" max="11277" width="8.6640625" style="30"/>
    <col min="11278" max="11278" width="14.33203125" style="30" customWidth="1"/>
    <col min="11279" max="11280" width="3.33203125" style="30" customWidth="1"/>
    <col min="11281" max="11305" width="2.4140625" style="30" customWidth="1"/>
    <col min="11306" max="11307" width="3.33203125" style="30" customWidth="1"/>
    <col min="11308" max="11308" width="14.33203125" style="30" customWidth="1"/>
    <col min="11309" max="11533" width="8.6640625" style="30"/>
    <col min="11534" max="11534" width="14.33203125" style="30" customWidth="1"/>
    <col min="11535" max="11536" width="3.33203125" style="30" customWidth="1"/>
    <col min="11537" max="11561" width="2.4140625" style="30" customWidth="1"/>
    <col min="11562" max="11563" width="3.33203125" style="30" customWidth="1"/>
    <col min="11564" max="11564" width="14.33203125" style="30" customWidth="1"/>
    <col min="11565" max="11789" width="8.6640625" style="30"/>
    <col min="11790" max="11790" width="14.33203125" style="30" customWidth="1"/>
    <col min="11791" max="11792" width="3.33203125" style="30" customWidth="1"/>
    <col min="11793" max="11817" width="2.4140625" style="30" customWidth="1"/>
    <col min="11818" max="11819" width="3.33203125" style="30" customWidth="1"/>
    <col min="11820" max="11820" width="14.33203125" style="30" customWidth="1"/>
    <col min="11821" max="12045" width="8.6640625" style="30"/>
    <col min="12046" max="12046" width="14.33203125" style="30" customWidth="1"/>
    <col min="12047" max="12048" width="3.33203125" style="30" customWidth="1"/>
    <col min="12049" max="12073" width="2.4140625" style="30" customWidth="1"/>
    <col min="12074" max="12075" width="3.33203125" style="30" customWidth="1"/>
    <col min="12076" max="12076" width="14.33203125" style="30" customWidth="1"/>
    <col min="12077" max="12301" width="8.6640625" style="30"/>
    <col min="12302" max="12302" width="14.33203125" style="30" customWidth="1"/>
    <col min="12303" max="12304" width="3.33203125" style="30" customWidth="1"/>
    <col min="12305" max="12329" width="2.4140625" style="30" customWidth="1"/>
    <col min="12330" max="12331" width="3.33203125" style="30" customWidth="1"/>
    <col min="12332" max="12332" width="14.33203125" style="30" customWidth="1"/>
    <col min="12333" max="12557" width="8.6640625" style="30"/>
    <col min="12558" max="12558" width="14.33203125" style="30" customWidth="1"/>
    <col min="12559" max="12560" width="3.33203125" style="30" customWidth="1"/>
    <col min="12561" max="12585" width="2.4140625" style="30" customWidth="1"/>
    <col min="12586" max="12587" width="3.33203125" style="30" customWidth="1"/>
    <col min="12588" max="12588" width="14.33203125" style="30" customWidth="1"/>
    <col min="12589" max="12813" width="8.6640625" style="30"/>
    <col min="12814" max="12814" width="14.33203125" style="30" customWidth="1"/>
    <col min="12815" max="12816" width="3.33203125" style="30" customWidth="1"/>
    <col min="12817" max="12841" width="2.4140625" style="30" customWidth="1"/>
    <col min="12842" max="12843" width="3.33203125" style="30" customWidth="1"/>
    <col min="12844" max="12844" width="14.33203125" style="30" customWidth="1"/>
    <col min="12845" max="13069" width="8.6640625" style="30"/>
    <col min="13070" max="13070" width="14.33203125" style="30" customWidth="1"/>
    <col min="13071" max="13072" width="3.33203125" style="30" customWidth="1"/>
    <col min="13073" max="13097" width="2.4140625" style="30" customWidth="1"/>
    <col min="13098" max="13099" width="3.33203125" style="30" customWidth="1"/>
    <col min="13100" max="13100" width="14.33203125" style="30" customWidth="1"/>
    <col min="13101" max="13325" width="8.6640625" style="30"/>
    <col min="13326" max="13326" width="14.33203125" style="30" customWidth="1"/>
    <col min="13327" max="13328" width="3.33203125" style="30" customWidth="1"/>
    <col min="13329" max="13353" width="2.4140625" style="30" customWidth="1"/>
    <col min="13354" max="13355" width="3.33203125" style="30" customWidth="1"/>
    <col min="13356" max="13356" width="14.33203125" style="30" customWidth="1"/>
    <col min="13357" max="13581" width="8.6640625" style="30"/>
    <col min="13582" max="13582" width="14.33203125" style="30" customWidth="1"/>
    <col min="13583" max="13584" width="3.33203125" style="30" customWidth="1"/>
    <col min="13585" max="13609" width="2.4140625" style="30" customWidth="1"/>
    <col min="13610" max="13611" width="3.33203125" style="30" customWidth="1"/>
    <col min="13612" max="13612" width="14.33203125" style="30" customWidth="1"/>
    <col min="13613" max="13837" width="8.6640625" style="30"/>
    <col min="13838" max="13838" width="14.33203125" style="30" customWidth="1"/>
    <col min="13839" max="13840" width="3.33203125" style="30" customWidth="1"/>
    <col min="13841" max="13865" width="2.4140625" style="30" customWidth="1"/>
    <col min="13866" max="13867" width="3.33203125" style="30" customWidth="1"/>
    <col min="13868" max="13868" width="14.33203125" style="30" customWidth="1"/>
    <col min="13869" max="14093" width="8.6640625" style="30"/>
    <col min="14094" max="14094" width="14.33203125" style="30" customWidth="1"/>
    <col min="14095" max="14096" width="3.33203125" style="30" customWidth="1"/>
    <col min="14097" max="14121" width="2.4140625" style="30" customWidth="1"/>
    <col min="14122" max="14123" width="3.33203125" style="30" customWidth="1"/>
    <col min="14124" max="14124" width="14.33203125" style="30" customWidth="1"/>
    <col min="14125" max="14349" width="8.6640625" style="30"/>
    <col min="14350" max="14350" width="14.33203125" style="30" customWidth="1"/>
    <col min="14351" max="14352" width="3.33203125" style="30" customWidth="1"/>
    <col min="14353" max="14377" width="2.4140625" style="30" customWidth="1"/>
    <col min="14378" max="14379" width="3.33203125" style="30" customWidth="1"/>
    <col min="14380" max="14380" width="14.33203125" style="30" customWidth="1"/>
    <col min="14381" max="14605" width="8.6640625" style="30"/>
    <col min="14606" max="14606" width="14.33203125" style="30" customWidth="1"/>
    <col min="14607" max="14608" width="3.33203125" style="30" customWidth="1"/>
    <col min="14609" max="14633" width="2.4140625" style="30" customWidth="1"/>
    <col min="14634" max="14635" width="3.33203125" style="30" customWidth="1"/>
    <col min="14636" max="14636" width="14.33203125" style="30" customWidth="1"/>
    <col min="14637" max="14861" width="8.6640625" style="30"/>
    <col min="14862" max="14862" width="14.33203125" style="30" customWidth="1"/>
    <col min="14863" max="14864" width="3.33203125" style="30" customWidth="1"/>
    <col min="14865" max="14889" width="2.4140625" style="30" customWidth="1"/>
    <col min="14890" max="14891" width="3.33203125" style="30" customWidth="1"/>
    <col min="14892" max="14892" width="14.33203125" style="30" customWidth="1"/>
    <col min="14893" max="15117" width="8.6640625" style="30"/>
    <col min="15118" max="15118" width="14.33203125" style="30" customWidth="1"/>
    <col min="15119" max="15120" width="3.33203125" style="30" customWidth="1"/>
    <col min="15121" max="15145" width="2.4140625" style="30" customWidth="1"/>
    <col min="15146" max="15147" width="3.33203125" style="30" customWidth="1"/>
    <col min="15148" max="15148" width="14.33203125" style="30" customWidth="1"/>
    <col min="15149" max="15373" width="8.6640625" style="30"/>
    <col min="15374" max="15374" width="14.33203125" style="30" customWidth="1"/>
    <col min="15375" max="15376" width="3.33203125" style="30" customWidth="1"/>
    <col min="15377" max="15401" width="2.4140625" style="30" customWidth="1"/>
    <col min="15402" max="15403" width="3.33203125" style="30" customWidth="1"/>
    <col min="15404" max="15404" width="14.33203125" style="30" customWidth="1"/>
    <col min="15405" max="15629" width="8.6640625" style="30"/>
    <col min="15630" max="15630" width="14.33203125" style="30" customWidth="1"/>
    <col min="15631" max="15632" width="3.33203125" style="30" customWidth="1"/>
    <col min="15633" max="15657" width="2.4140625" style="30" customWidth="1"/>
    <col min="15658" max="15659" width="3.33203125" style="30" customWidth="1"/>
    <col min="15660" max="15660" width="14.33203125" style="30" customWidth="1"/>
    <col min="15661" max="15885" width="8.6640625" style="30"/>
    <col min="15886" max="15886" width="14.33203125" style="30" customWidth="1"/>
    <col min="15887" max="15888" width="3.33203125" style="30" customWidth="1"/>
    <col min="15889" max="15913" width="2.4140625" style="30" customWidth="1"/>
    <col min="15914" max="15915" width="3.33203125" style="30" customWidth="1"/>
    <col min="15916" max="15916" width="14.33203125" style="30" customWidth="1"/>
    <col min="15917" max="16141" width="8.6640625" style="30"/>
    <col min="16142" max="16142" width="14.33203125" style="30" customWidth="1"/>
    <col min="16143" max="16144" width="3.33203125" style="30" customWidth="1"/>
    <col min="16145" max="16169" width="2.4140625" style="30" customWidth="1"/>
    <col min="16170" max="16171" width="3.33203125" style="30" customWidth="1"/>
    <col min="16172" max="16172" width="14.33203125" style="30" customWidth="1"/>
    <col min="16173" max="16384" width="8.6640625" style="30"/>
  </cols>
  <sheetData>
    <row r="1" spans="1:47" ht="22.5" x14ac:dyDescent="0.55000000000000004">
      <c r="A1" s="29" t="s">
        <v>251</v>
      </c>
      <c r="AS1" s="4"/>
      <c r="AT1" s="4"/>
      <c r="AU1" s="4"/>
    </row>
    <row r="2" spans="1:47" ht="22.5" x14ac:dyDescent="0.55000000000000004">
      <c r="A2" s="29"/>
      <c r="AS2" s="4"/>
      <c r="AT2" s="4"/>
      <c r="AU2" s="4"/>
    </row>
    <row r="3" spans="1:47" ht="22.5" x14ac:dyDescent="0.55000000000000004">
      <c r="A3" s="29"/>
      <c r="AS3" s="4"/>
      <c r="AT3" s="4"/>
      <c r="AU3" s="4"/>
    </row>
    <row r="4" spans="1:47" ht="22.5" x14ac:dyDescent="0.55000000000000004">
      <c r="A4" s="29"/>
      <c r="AS4" s="4"/>
      <c r="AT4" s="4"/>
      <c r="AU4" s="4"/>
    </row>
    <row r="5" spans="1:47" ht="22.5" x14ac:dyDescent="0.55000000000000004">
      <c r="A5" s="29"/>
      <c r="AS5" s="4"/>
      <c r="AT5" s="4"/>
      <c r="AU5" s="158" t="s">
        <v>1183</v>
      </c>
    </row>
    <row r="7" spans="1:47" ht="105" customHeight="1" x14ac:dyDescent="0.55000000000000004">
      <c r="F7" s="54" t="str">
        <f>'PF144'!AA153</f>
        <v>VDDIO_HSIO</v>
      </c>
      <c r="G7" s="85" t="str">
        <f>'PF144'!AA152</f>
        <v>VSSIO_SMC</v>
      </c>
      <c r="H7" s="54" t="str">
        <f>'PF144'!AA151</f>
        <v>VDDIO_SMC</v>
      </c>
      <c r="I7" s="55">
        <f>'PF144'!AA150</f>
        <v>0</v>
      </c>
      <c r="J7" s="55">
        <f>'PF144'!AA149</f>
        <v>0</v>
      </c>
      <c r="K7" s="55">
        <f>'PF144'!AA148</f>
        <v>0</v>
      </c>
      <c r="L7" s="55">
        <f>'PF144'!AA147</f>
        <v>0</v>
      </c>
      <c r="M7" s="55">
        <f>'PF144'!AA146</f>
        <v>0</v>
      </c>
      <c r="N7" s="55">
        <f>'PF144'!AA145</f>
        <v>0</v>
      </c>
      <c r="O7" s="55">
        <f>'PF144'!AA144</f>
        <v>0</v>
      </c>
      <c r="P7" s="55">
        <f>'PF144'!AA143</f>
        <v>0</v>
      </c>
      <c r="Q7" s="56" t="str">
        <f>'PF144'!AA142</f>
        <v>VSSIO_SMC</v>
      </c>
      <c r="R7" s="54" t="str">
        <f>'PF144'!AA141</f>
        <v>VDDIO_SMC</v>
      </c>
      <c r="S7" s="55">
        <f>'PF144'!AA140</f>
        <v>0</v>
      </c>
      <c r="T7" s="55">
        <f>'PF144'!AA139</f>
        <v>0</v>
      </c>
      <c r="U7" s="55">
        <f>'PF144'!AA138</f>
        <v>0</v>
      </c>
      <c r="V7" s="55">
        <f>'PF144'!AA137</f>
        <v>0</v>
      </c>
      <c r="W7" s="55">
        <f>'PF144'!AA136</f>
        <v>0</v>
      </c>
      <c r="X7" s="55">
        <f>'PF144'!AA135</f>
        <v>0</v>
      </c>
      <c r="Y7" s="55">
        <f>'PF144'!AA134</f>
        <v>0</v>
      </c>
      <c r="Z7" s="55">
        <f>'PF144'!AA133</f>
        <v>0</v>
      </c>
      <c r="AA7" s="54" t="str">
        <f>'PF144'!AA132</f>
        <v>VDDIO_SMC</v>
      </c>
      <c r="AB7" s="56" t="str">
        <f>'PF144'!AA131</f>
        <v>VSSIO_SMC</v>
      </c>
      <c r="AC7" s="55">
        <f>'PF144'!AA130</f>
        <v>0</v>
      </c>
      <c r="AD7" s="55">
        <f>'PF144'!AA129</f>
        <v>0</v>
      </c>
      <c r="AE7" s="55">
        <f>'PF144'!AA128</f>
        <v>0</v>
      </c>
      <c r="AF7" s="55">
        <f>'PF144'!AA127</f>
        <v>0</v>
      </c>
      <c r="AG7" s="55">
        <f>'PF144'!AA126</f>
        <v>0</v>
      </c>
      <c r="AH7" s="55">
        <f>'PF144'!AA125</f>
        <v>0</v>
      </c>
      <c r="AI7" s="55">
        <f>'PF144'!AA124</f>
        <v>0</v>
      </c>
      <c r="AJ7" s="55">
        <f>'PF144'!AA123</f>
        <v>0</v>
      </c>
      <c r="AK7" s="54" t="str">
        <f>'PF144'!AA122</f>
        <v>VDDIO_SMC</v>
      </c>
      <c r="AL7" s="85" t="str">
        <f>'PF144'!AA121</f>
        <v>VSSIO_SMC</v>
      </c>
      <c r="AM7" s="55">
        <f>'PF144'!AA120</f>
        <v>0</v>
      </c>
      <c r="AN7" s="55">
        <f>'PF144'!AA119</f>
        <v>0</v>
      </c>
      <c r="AO7" s="56" t="str">
        <f>'PF144'!AA118</f>
        <v>VSSD</v>
      </c>
    </row>
    <row r="8" spans="1:47" ht="15" customHeight="1" x14ac:dyDescent="0.55000000000000004">
      <c r="D8" s="57"/>
      <c r="E8" s="58"/>
      <c r="F8" s="58">
        <v>144</v>
      </c>
      <c r="G8" s="58">
        <v>143</v>
      </c>
      <c r="H8" s="58">
        <v>142</v>
      </c>
      <c r="I8" s="58">
        <v>141</v>
      </c>
      <c r="J8" s="58">
        <v>140</v>
      </c>
      <c r="K8" s="58">
        <v>139</v>
      </c>
      <c r="L8" s="58">
        <v>138</v>
      </c>
      <c r="M8" s="58">
        <v>137</v>
      </c>
      <c r="N8" s="58">
        <v>136</v>
      </c>
      <c r="O8" s="58">
        <v>135</v>
      </c>
      <c r="P8" s="58">
        <v>134</v>
      </c>
      <c r="Q8" s="58">
        <v>133</v>
      </c>
      <c r="R8" s="58">
        <v>132</v>
      </c>
      <c r="S8" s="58">
        <v>131</v>
      </c>
      <c r="T8" s="58">
        <v>130</v>
      </c>
      <c r="U8" s="58">
        <v>129</v>
      </c>
      <c r="V8" s="58">
        <v>128</v>
      </c>
      <c r="W8" s="58">
        <v>127</v>
      </c>
      <c r="X8" s="58">
        <v>126</v>
      </c>
      <c r="Y8" s="58">
        <v>125</v>
      </c>
      <c r="Z8" s="58">
        <v>124</v>
      </c>
      <c r="AA8" s="58">
        <v>123</v>
      </c>
      <c r="AB8" s="58">
        <v>122</v>
      </c>
      <c r="AC8" s="58">
        <v>121</v>
      </c>
      <c r="AD8" s="58">
        <v>120</v>
      </c>
      <c r="AE8" s="58">
        <v>119</v>
      </c>
      <c r="AF8" s="58">
        <v>118</v>
      </c>
      <c r="AG8" s="58">
        <v>117</v>
      </c>
      <c r="AH8" s="58">
        <v>116</v>
      </c>
      <c r="AI8" s="58">
        <v>115</v>
      </c>
      <c r="AJ8" s="58">
        <v>114</v>
      </c>
      <c r="AK8" s="58">
        <v>113</v>
      </c>
      <c r="AL8" s="58">
        <v>112</v>
      </c>
      <c r="AM8" s="58">
        <v>111</v>
      </c>
      <c r="AN8" s="58">
        <v>110</v>
      </c>
      <c r="AO8" s="58">
        <v>109</v>
      </c>
      <c r="AP8" s="58"/>
      <c r="AQ8" s="59"/>
    </row>
    <row r="9" spans="1:47" ht="15" customHeight="1" x14ac:dyDescent="0.55000000000000004">
      <c r="D9" s="60"/>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2"/>
    </row>
    <row r="10" spans="1:47" ht="15" customHeight="1" x14ac:dyDescent="0.55000000000000004">
      <c r="B10" s="34"/>
      <c r="C10" s="63" t="str">
        <f>'PF144'!AA10</f>
        <v>VSSIO_HSIO</v>
      </c>
      <c r="D10" s="60">
        <v>1</v>
      </c>
      <c r="E10" s="61"/>
      <c r="F10" s="142" t="s">
        <v>247</v>
      </c>
      <c r="G10" s="142"/>
      <c r="H10" s="142"/>
      <c r="I10" s="142"/>
      <c r="J10" s="142"/>
      <c r="K10" s="142"/>
      <c r="L10" s="142"/>
      <c r="M10" s="142"/>
      <c r="N10" s="142"/>
      <c r="O10" s="142"/>
      <c r="P10" s="142"/>
      <c r="Q10" s="142"/>
      <c r="R10" s="142"/>
      <c r="S10" s="142"/>
      <c r="T10" s="142"/>
      <c r="U10" s="142"/>
      <c r="V10" s="142"/>
      <c r="W10" s="142"/>
      <c r="X10" s="142"/>
      <c r="Y10" s="142"/>
      <c r="Z10" s="142"/>
      <c r="AA10" s="142"/>
      <c r="AB10" s="142"/>
      <c r="AC10" s="142"/>
      <c r="AD10" s="142"/>
      <c r="AE10" s="142"/>
      <c r="AF10" s="142"/>
      <c r="AG10" s="142"/>
      <c r="AH10" s="142"/>
      <c r="AI10" s="142"/>
      <c r="AJ10" s="142"/>
      <c r="AK10" s="142"/>
      <c r="AL10" s="142"/>
      <c r="AM10" s="142"/>
      <c r="AN10" s="142"/>
      <c r="AO10" s="142"/>
      <c r="AP10" s="61"/>
      <c r="AQ10" s="62">
        <v>108</v>
      </c>
      <c r="AR10" s="64" t="str">
        <f>'PF144'!AA117</f>
        <v>VDDIO_GPIO</v>
      </c>
    </row>
    <row r="11" spans="1:47" ht="15" customHeight="1" x14ac:dyDescent="0.55000000000000004">
      <c r="B11" s="34"/>
      <c r="C11" s="65">
        <f>'PF144'!AA11</f>
        <v>0</v>
      </c>
      <c r="D11" s="60">
        <v>2</v>
      </c>
      <c r="E11" s="61"/>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142"/>
      <c r="AF11" s="142"/>
      <c r="AG11" s="142"/>
      <c r="AH11" s="142"/>
      <c r="AI11" s="142"/>
      <c r="AJ11" s="142"/>
      <c r="AK11" s="142"/>
      <c r="AL11" s="142"/>
      <c r="AM11" s="142"/>
      <c r="AN11" s="142"/>
      <c r="AO11" s="142"/>
      <c r="AP11" s="61"/>
      <c r="AQ11" s="62">
        <v>107</v>
      </c>
      <c r="AR11" s="84" t="str">
        <f>'PF144'!AA116</f>
        <v>VSSA_ADC</v>
      </c>
    </row>
    <row r="12" spans="1:47" ht="15" customHeight="1" x14ac:dyDescent="0.55000000000000004">
      <c r="B12" s="34"/>
      <c r="C12" s="65">
        <f>'PF144'!AA12</f>
        <v>0</v>
      </c>
      <c r="D12" s="60">
        <v>3</v>
      </c>
      <c r="E12" s="61"/>
      <c r="F12" s="142"/>
      <c r="G12" s="142"/>
      <c r="H12" s="142"/>
      <c r="I12" s="142"/>
      <c r="J12" s="142"/>
      <c r="K12" s="142"/>
      <c r="L12" s="142"/>
      <c r="M12" s="142"/>
      <c r="N12" s="142"/>
      <c r="O12" s="142"/>
      <c r="P12" s="142"/>
      <c r="Q12" s="142"/>
      <c r="R12" s="142"/>
      <c r="S12" s="142"/>
      <c r="T12" s="142"/>
      <c r="U12" s="142"/>
      <c r="V12" s="142"/>
      <c r="W12" s="142"/>
      <c r="X12" s="142"/>
      <c r="Y12" s="142"/>
      <c r="Z12" s="142"/>
      <c r="AA12" s="142"/>
      <c r="AB12" s="142"/>
      <c r="AC12" s="142"/>
      <c r="AD12" s="142"/>
      <c r="AE12" s="142"/>
      <c r="AF12" s="142"/>
      <c r="AG12" s="142"/>
      <c r="AH12" s="142"/>
      <c r="AI12" s="142"/>
      <c r="AJ12" s="142"/>
      <c r="AK12" s="142"/>
      <c r="AL12" s="142"/>
      <c r="AM12" s="142"/>
      <c r="AN12" s="142"/>
      <c r="AO12" s="142"/>
      <c r="AP12" s="61"/>
      <c r="AQ12" s="62">
        <v>106</v>
      </c>
      <c r="AR12" s="64" t="str">
        <f>'PF144'!AA115</f>
        <v>VDDA_ADC</v>
      </c>
    </row>
    <row r="13" spans="1:47" ht="15" customHeight="1" x14ac:dyDescent="0.55000000000000004">
      <c r="B13" s="34"/>
      <c r="C13" s="65">
        <f>'PF144'!AA13</f>
        <v>0</v>
      </c>
      <c r="D13" s="60">
        <v>4</v>
      </c>
      <c r="E13" s="61"/>
      <c r="F13" s="142"/>
      <c r="G13" s="142"/>
      <c r="H13" s="142"/>
      <c r="I13" s="142"/>
      <c r="J13" s="142"/>
      <c r="K13" s="142"/>
      <c r="L13" s="142"/>
      <c r="M13" s="142"/>
      <c r="N13" s="142"/>
      <c r="O13" s="142"/>
      <c r="P13" s="142"/>
      <c r="Q13" s="142"/>
      <c r="R13" s="142"/>
      <c r="S13" s="142"/>
      <c r="T13" s="142"/>
      <c r="U13" s="142"/>
      <c r="V13" s="142"/>
      <c r="W13" s="142"/>
      <c r="X13" s="142"/>
      <c r="Y13" s="142"/>
      <c r="Z13" s="142"/>
      <c r="AA13" s="142"/>
      <c r="AB13" s="142"/>
      <c r="AC13" s="142"/>
      <c r="AD13" s="142"/>
      <c r="AE13" s="142"/>
      <c r="AF13" s="142"/>
      <c r="AG13" s="142"/>
      <c r="AH13" s="142"/>
      <c r="AI13" s="142"/>
      <c r="AJ13" s="142"/>
      <c r="AK13" s="142"/>
      <c r="AL13" s="142"/>
      <c r="AM13" s="142"/>
      <c r="AN13" s="142"/>
      <c r="AO13" s="142"/>
      <c r="AP13" s="61"/>
      <c r="AQ13" s="62">
        <v>105</v>
      </c>
      <c r="AR13" s="78" t="str">
        <f>'PF144'!AA114</f>
        <v>VREFH</v>
      </c>
    </row>
    <row r="14" spans="1:47" ht="15" customHeight="1" x14ac:dyDescent="0.55000000000000004">
      <c r="B14" s="34"/>
      <c r="C14" s="65">
        <f>'PF144'!AA14</f>
        <v>0</v>
      </c>
      <c r="D14" s="60">
        <v>5</v>
      </c>
      <c r="E14" s="61"/>
      <c r="F14" s="142"/>
      <c r="G14" s="142"/>
      <c r="H14" s="142"/>
      <c r="I14" s="142"/>
      <c r="J14" s="142"/>
      <c r="K14" s="142"/>
      <c r="L14" s="142"/>
      <c r="M14" s="142"/>
      <c r="N14" s="142"/>
      <c r="O14" s="142"/>
      <c r="P14" s="142"/>
      <c r="Q14" s="142"/>
      <c r="R14" s="142"/>
      <c r="S14" s="142"/>
      <c r="T14" s="142"/>
      <c r="U14" s="142"/>
      <c r="V14" s="142"/>
      <c r="W14" s="142"/>
      <c r="X14" s="142"/>
      <c r="Y14" s="142"/>
      <c r="Z14" s="142"/>
      <c r="AA14" s="142"/>
      <c r="AB14" s="142"/>
      <c r="AC14" s="142"/>
      <c r="AD14" s="142"/>
      <c r="AE14" s="142"/>
      <c r="AF14" s="142"/>
      <c r="AG14" s="142"/>
      <c r="AH14" s="142"/>
      <c r="AI14" s="142"/>
      <c r="AJ14" s="142"/>
      <c r="AK14" s="142"/>
      <c r="AL14" s="142"/>
      <c r="AM14" s="142"/>
      <c r="AN14" s="142"/>
      <c r="AO14" s="142"/>
      <c r="AP14" s="61"/>
      <c r="AQ14" s="62">
        <v>104</v>
      </c>
      <c r="AR14" s="66">
        <f>'PF144'!AA113</f>
        <v>0</v>
      </c>
    </row>
    <row r="15" spans="1:47" ht="15" customHeight="1" x14ac:dyDescent="0.55000000000000004">
      <c r="B15" s="34"/>
      <c r="C15" s="80" t="str">
        <f>'PF144'!AA15</f>
        <v>VSSIO_HSIO</v>
      </c>
      <c r="D15" s="60">
        <v>6</v>
      </c>
      <c r="E15" s="61"/>
      <c r="F15" s="142"/>
      <c r="G15" s="142"/>
      <c r="H15" s="142"/>
      <c r="I15" s="142"/>
      <c r="J15" s="142"/>
      <c r="K15" s="142"/>
      <c r="L15" s="142"/>
      <c r="M15" s="142"/>
      <c r="N15" s="142"/>
      <c r="O15" s="142"/>
      <c r="P15" s="142"/>
      <c r="Q15" s="142"/>
      <c r="R15" s="142"/>
      <c r="S15" s="142"/>
      <c r="T15" s="142"/>
      <c r="U15" s="142"/>
      <c r="V15" s="142"/>
      <c r="W15" s="142"/>
      <c r="X15" s="142"/>
      <c r="Y15" s="142"/>
      <c r="Z15" s="142"/>
      <c r="AA15" s="142"/>
      <c r="AB15" s="142"/>
      <c r="AC15" s="142"/>
      <c r="AD15" s="142"/>
      <c r="AE15" s="142"/>
      <c r="AF15" s="142"/>
      <c r="AG15" s="142"/>
      <c r="AH15" s="142"/>
      <c r="AI15" s="142"/>
      <c r="AJ15" s="142"/>
      <c r="AK15" s="142"/>
      <c r="AL15" s="142"/>
      <c r="AM15" s="142"/>
      <c r="AN15" s="142"/>
      <c r="AO15" s="142"/>
      <c r="AP15" s="61"/>
      <c r="AQ15" s="62">
        <v>103</v>
      </c>
      <c r="AR15" s="66">
        <f>'PF144'!AA112</f>
        <v>0</v>
      </c>
    </row>
    <row r="16" spans="1:47" ht="15" customHeight="1" x14ac:dyDescent="0.55000000000000004">
      <c r="B16" s="34"/>
      <c r="C16" s="67" t="str">
        <f>'PF144'!AA16</f>
        <v>VDDIO_HSIO</v>
      </c>
      <c r="D16" s="60">
        <v>7</v>
      </c>
      <c r="E16" s="61"/>
      <c r="F16" s="142"/>
      <c r="G16" s="142"/>
      <c r="H16" s="142"/>
      <c r="I16" s="142"/>
      <c r="J16" s="142"/>
      <c r="K16" s="142"/>
      <c r="L16" s="142"/>
      <c r="M16" s="142"/>
      <c r="N16" s="142"/>
      <c r="O16" s="142"/>
      <c r="P16" s="142"/>
      <c r="Q16" s="142"/>
      <c r="R16" s="142"/>
      <c r="S16" s="142"/>
      <c r="T16" s="142"/>
      <c r="U16" s="142"/>
      <c r="V16" s="142"/>
      <c r="W16" s="142"/>
      <c r="X16" s="142"/>
      <c r="Y16" s="142"/>
      <c r="Z16" s="142"/>
      <c r="AA16" s="142"/>
      <c r="AB16" s="142"/>
      <c r="AC16" s="142"/>
      <c r="AD16" s="142"/>
      <c r="AE16" s="142"/>
      <c r="AF16" s="142"/>
      <c r="AG16" s="142"/>
      <c r="AH16" s="142"/>
      <c r="AI16" s="142"/>
      <c r="AJ16" s="142"/>
      <c r="AK16" s="142"/>
      <c r="AL16" s="142"/>
      <c r="AM16" s="142"/>
      <c r="AN16" s="142"/>
      <c r="AO16" s="142"/>
      <c r="AP16" s="61"/>
      <c r="AQ16" s="62">
        <v>102</v>
      </c>
      <c r="AR16" s="66">
        <f>'PF144'!AA111</f>
        <v>0</v>
      </c>
    </row>
    <row r="17" spans="2:44" ht="15" customHeight="1" x14ac:dyDescent="0.55000000000000004">
      <c r="B17" s="34"/>
      <c r="C17" s="65">
        <f>'PF144'!AA17</f>
        <v>0</v>
      </c>
      <c r="D17" s="60">
        <v>8</v>
      </c>
      <c r="E17" s="61"/>
      <c r="F17" s="142"/>
      <c r="G17" s="142"/>
      <c r="H17" s="142"/>
      <c r="I17" s="142"/>
      <c r="J17" s="142"/>
      <c r="K17" s="142"/>
      <c r="L17" s="142"/>
      <c r="M17" s="142"/>
      <c r="N17" s="142"/>
      <c r="O17" s="142"/>
      <c r="P17" s="142"/>
      <c r="Q17" s="142"/>
      <c r="R17" s="142"/>
      <c r="S17" s="142"/>
      <c r="T17" s="142"/>
      <c r="U17" s="142"/>
      <c r="V17" s="142"/>
      <c r="W17" s="142"/>
      <c r="X17" s="142"/>
      <c r="Y17" s="142"/>
      <c r="Z17" s="142"/>
      <c r="AA17" s="142"/>
      <c r="AB17" s="142"/>
      <c r="AC17" s="142"/>
      <c r="AD17" s="142"/>
      <c r="AE17" s="142"/>
      <c r="AF17" s="142"/>
      <c r="AG17" s="142"/>
      <c r="AH17" s="142"/>
      <c r="AI17" s="142"/>
      <c r="AJ17" s="142"/>
      <c r="AK17" s="142"/>
      <c r="AL17" s="142"/>
      <c r="AM17" s="142"/>
      <c r="AN17" s="142"/>
      <c r="AO17" s="142"/>
      <c r="AP17" s="61"/>
      <c r="AQ17" s="62">
        <v>101</v>
      </c>
      <c r="AR17" s="66">
        <f>'PF144'!AA110</f>
        <v>0</v>
      </c>
    </row>
    <row r="18" spans="2:44" ht="15" customHeight="1" x14ac:dyDescent="0.55000000000000004">
      <c r="B18" s="34"/>
      <c r="C18" s="65">
        <f>'PF144'!AA18</f>
        <v>0</v>
      </c>
      <c r="D18" s="60">
        <v>9</v>
      </c>
      <c r="E18" s="61"/>
      <c r="F18" s="142"/>
      <c r="G18" s="142"/>
      <c r="H18" s="142"/>
      <c r="I18" s="142"/>
      <c r="J18" s="142"/>
      <c r="K18" s="142"/>
      <c r="L18" s="142"/>
      <c r="M18" s="142"/>
      <c r="N18" s="142"/>
      <c r="O18" s="142"/>
      <c r="P18" s="142"/>
      <c r="Q18" s="142"/>
      <c r="R18" s="142"/>
      <c r="S18" s="142"/>
      <c r="T18" s="142"/>
      <c r="U18" s="142"/>
      <c r="V18" s="142"/>
      <c r="W18" s="142"/>
      <c r="X18" s="142"/>
      <c r="Y18" s="142"/>
      <c r="Z18" s="142"/>
      <c r="AA18" s="142"/>
      <c r="AB18" s="142"/>
      <c r="AC18" s="142"/>
      <c r="AD18" s="142"/>
      <c r="AE18" s="142"/>
      <c r="AF18" s="142"/>
      <c r="AG18" s="142"/>
      <c r="AH18" s="142"/>
      <c r="AI18" s="142"/>
      <c r="AJ18" s="142"/>
      <c r="AK18" s="142"/>
      <c r="AL18" s="142"/>
      <c r="AM18" s="142"/>
      <c r="AN18" s="142"/>
      <c r="AO18" s="142"/>
      <c r="AP18" s="61"/>
      <c r="AQ18" s="62">
        <v>100</v>
      </c>
      <c r="AR18" s="66">
        <f>'PF144'!AA109</f>
        <v>0</v>
      </c>
    </row>
    <row r="19" spans="2:44" ht="15" customHeight="1" x14ac:dyDescent="0.55000000000000004">
      <c r="B19" s="34"/>
      <c r="C19" s="65">
        <f>'PF144'!AA19</f>
        <v>0</v>
      </c>
      <c r="D19" s="60">
        <v>10</v>
      </c>
      <c r="E19" s="61"/>
      <c r="F19" s="142"/>
      <c r="G19" s="142"/>
      <c r="H19" s="142"/>
      <c r="I19" s="142"/>
      <c r="J19" s="142"/>
      <c r="K19" s="142"/>
      <c r="L19" s="142"/>
      <c r="M19" s="142"/>
      <c r="N19" s="142"/>
      <c r="O19" s="142"/>
      <c r="P19" s="142"/>
      <c r="Q19" s="142"/>
      <c r="R19" s="142"/>
      <c r="S19" s="142"/>
      <c r="T19" s="142"/>
      <c r="U19" s="142"/>
      <c r="V19" s="142"/>
      <c r="W19" s="142"/>
      <c r="X19" s="142"/>
      <c r="Y19" s="142"/>
      <c r="Z19" s="142"/>
      <c r="AA19" s="142"/>
      <c r="AB19" s="142"/>
      <c r="AC19" s="142"/>
      <c r="AD19" s="142"/>
      <c r="AE19" s="142"/>
      <c r="AF19" s="142"/>
      <c r="AG19" s="142"/>
      <c r="AH19" s="142"/>
      <c r="AI19" s="142"/>
      <c r="AJ19" s="142"/>
      <c r="AK19" s="142"/>
      <c r="AL19" s="142"/>
      <c r="AM19" s="142"/>
      <c r="AN19" s="142"/>
      <c r="AO19" s="142"/>
      <c r="AP19" s="61"/>
      <c r="AQ19" s="62">
        <v>99</v>
      </c>
      <c r="AR19" s="66">
        <f>'PF144'!AA108</f>
        <v>0</v>
      </c>
    </row>
    <row r="20" spans="2:44" ht="15" customHeight="1" x14ac:dyDescent="0.55000000000000004">
      <c r="B20" s="34"/>
      <c r="C20" s="65">
        <f>'PF144'!AA20</f>
        <v>0</v>
      </c>
      <c r="D20" s="60">
        <v>11</v>
      </c>
      <c r="E20" s="61"/>
      <c r="F20" s="142"/>
      <c r="G20" s="142"/>
      <c r="H20" s="142"/>
      <c r="I20" s="142"/>
      <c r="J20" s="142"/>
      <c r="K20" s="142"/>
      <c r="L20" s="142"/>
      <c r="M20" s="142"/>
      <c r="N20" s="142"/>
      <c r="O20" s="142"/>
      <c r="P20" s="142"/>
      <c r="Q20" s="142"/>
      <c r="R20" s="142"/>
      <c r="S20" s="142"/>
      <c r="T20" s="142"/>
      <c r="U20" s="142"/>
      <c r="V20" s="142"/>
      <c r="W20" s="142"/>
      <c r="X20" s="142"/>
      <c r="Y20" s="142"/>
      <c r="Z20" s="142"/>
      <c r="AA20" s="142"/>
      <c r="AB20" s="142"/>
      <c r="AC20" s="142"/>
      <c r="AD20" s="142"/>
      <c r="AE20" s="142"/>
      <c r="AF20" s="142"/>
      <c r="AG20" s="142"/>
      <c r="AH20" s="142"/>
      <c r="AI20" s="142"/>
      <c r="AJ20" s="142"/>
      <c r="AK20" s="142"/>
      <c r="AL20" s="142"/>
      <c r="AM20" s="142"/>
      <c r="AN20" s="142"/>
      <c r="AO20" s="142"/>
      <c r="AP20" s="61"/>
      <c r="AQ20" s="62">
        <v>98</v>
      </c>
      <c r="AR20" s="66">
        <f>'PF144'!AA107</f>
        <v>0</v>
      </c>
    </row>
    <row r="21" spans="2:44" ht="15" customHeight="1" x14ac:dyDescent="0.55000000000000004">
      <c r="B21" s="34"/>
      <c r="C21" s="80" t="str">
        <f>'PF144'!AA21</f>
        <v>VSSIO_HSIO</v>
      </c>
      <c r="D21" s="60">
        <v>12</v>
      </c>
      <c r="E21" s="61"/>
      <c r="F21" s="142"/>
      <c r="G21" s="142"/>
      <c r="H21" s="142"/>
      <c r="I21" s="142"/>
      <c r="J21" s="142"/>
      <c r="K21" s="142"/>
      <c r="L21" s="142"/>
      <c r="M21" s="142"/>
      <c r="N21" s="142"/>
      <c r="O21" s="142"/>
      <c r="P21" s="142"/>
      <c r="Q21" s="142"/>
      <c r="R21" s="142"/>
      <c r="S21" s="142"/>
      <c r="T21" s="142"/>
      <c r="U21" s="142"/>
      <c r="V21" s="142"/>
      <c r="W21" s="142"/>
      <c r="X21" s="142"/>
      <c r="Y21" s="142"/>
      <c r="Z21" s="142"/>
      <c r="AA21" s="142"/>
      <c r="AB21" s="142"/>
      <c r="AC21" s="142"/>
      <c r="AD21" s="142"/>
      <c r="AE21" s="142"/>
      <c r="AF21" s="142"/>
      <c r="AG21" s="142"/>
      <c r="AH21" s="142"/>
      <c r="AI21" s="142"/>
      <c r="AJ21" s="142"/>
      <c r="AK21" s="142"/>
      <c r="AL21" s="142"/>
      <c r="AM21" s="142"/>
      <c r="AN21" s="142"/>
      <c r="AO21" s="142"/>
      <c r="AP21" s="61"/>
      <c r="AQ21" s="62">
        <v>97</v>
      </c>
      <c r="AR21" s="66">
        <f>'PF144'!AA106</f>
        <v>0</v>
      </c>
    </row>
    <row r="22" spans="2:44" ht="15" customHeight="1" x14ac:dyDescent="0.55000000000000004">
      <c r="B22" s="34"/>
      <c r="C22" s="67" t="str">
        <f>'PF144'!AA22</f>
        <v>VDDIO_HSIO</v>
      </c>
      <c r="D22" s="60">
        <v>13</v>
      </c>
      <c r="E22" s="61"/>
      <c r="F22" s="142"/>
      <c r="G22" s="142"/>
      <c r="H22" s="142"/>
      <c r="I22" s="142"/>
      <c r="J22" s="142"/>
      <c r="K22" s="142"/>
      <c r="L22" s="142"/>
      <c r="M22" s="142"/>
      <c r="N22" s="142"/>
      <c r="O22" s="142"/>
      <c r="P22" s="142"/>
      <c r="Q22" s="142"/>
      <c r="R22" s="142"/>
      <c r="S22" s="142"/>
      <c r="T22" s="142"/>
      <c r="U22" s="142"/>
      <c r="V22" s="142"/>
      <c r="W22" s="142"/>
      <c r="X22" s="142"/>
      <c r="Y22" s="142"/>
      <c r="Z22" s="142"/>
      <c r="AA22" s="142"/>
      <c r="AB22" s="142"/>
      <c r="AC22" s="142"/>
      <c r="AD22" s="142"/>
      <c r="AE22" s="142"/>
      <c r="AF22" s="142"/>
      <c r="AG22" s="142"/>
      <c r="AH22" s="142"/>
      <c r="AI22" s="142"/>
      <c r="AJ22" s="142"/>
      <c r="AK22" s="142"/>
      <c r="AL22" s="142"/>
      <c r="AM22" s="142"/>
      <c r="AN22" s="142"/>
      <c r="AO22" s="142"/>
      <c r="AP22" s="61"/>
      <c r="AQ22" s="62">
        <v>96</v>
      </c>
      <c r="AR22" s="66">
        <f>'PF144'!AA105</f>
        <v>0</v>
      </c>
    </row>
    <row r="23" spans="2:44" ht="15" customHeight="1" x14ac:dyDescent="0.55000000000000004">
      <c r="B23" s="34"/>
      <c r="C23" s="65">
        <f>'PF144'!AA23</f>
        <v>0</v>
      </c>
      <c r="D23" s="60">
        <v>14</v>
      </c>
      <c r="E23" s="61"/>
      <c r="F23" s="142"/>
      <c r="G23" s="142"/>
      <c r="H23" s="142"/>
      <c r="I23" s="142"/>
      <c r="J23" s="142"/>
      <c r="K23" s="142"/>
      <c r="L23" s="142"/>
      <c r="M23" s="142"/>
      <c r="N23" s="142"/>
      <c r="O23" s="142"/>
      <c r="P23" s="142"/>
      <c r="Q23" s="142"/>
      <c r="R23" s="142"/>
      <c r="S23" s="142"/>
      <c r="T23" s="142"/>
      <c r="U23" s="142"/>
      <c r="V23" s="142"/>
      <c r="W23" s="142"/>
      <c r="X23" s="142"/>
      <c r="Y23" s="142"/>
      <c r="Z23" s="142"/>
      <c r="AA23" s="142"/>
      <c r="AB23" s="142"/>
      <c r="AC23" s="142"/>
      <c r="AD23" s="142"/>
      <c r="AE23" s="142"/>
      <c r="AF23" s="142"/>
      <c r="AG23" s="142"/>
      <c r="AH23" s="142"/>
      <c r="AI23" s="142"/>
      <c r="AJ23" s="142"/>
      <c r="AK23" s="142"/>
      <c r="AL23" s="142"/>
      <c r="AM23" s="142"/>
      <c r="AN23" s="142"/>
      <c r="AO23" s="142"/>
      <c r="AP23" s="61"/>
      <c r="AQ23" s="62">
        <v>95</v>
      </c>
      <c r="AR23" s="66">
        <f>'PF144'!AA104</f>
        <v>0</v>
      </c>
    </row>
    <row r="24" spans="2:44" ht="15" customHeight="1" x14ac:dyDescent="0.55000000000000004">
      <c r="B24" s="34"/>
      <c r="C24" s="65">
        <f>'PF144'!AA24</f>
        <v>0</v>
      </c>
      <c r="D24" s="60">
        <v>15</v>
      </c>
      <c r="E24" s="61"/>
      <c r="F24" s="142"/>
      <c r="G24" s="142"/>
      <c r="H24" s="142"/>
      <c r="I24" s="142"/>
      <c r="J24" s="142"/>
      <c r="K24" s="142"/>
      <c r="L24" s="142"/>
      <c r="M24" s="142"/>
      <c r="N24" s="142"/>
      <c r="O24" s="142"/>
      <c r="P24" s="142"/>
      <c r="Q24" s="142"/>
      <c r="R24" s="142"/>
      <c r="S24" s="142"/>
      <c r="T24" s="142"/>
      <c r="U24" s="142"/>
      <c r="V24" s="142"/>
      <c r="W24" s="142"/>
      <c r="X24" s="142"/>
      <c r="Y24" s="142"/>
      <c r="Z24" s="142"/>
      <c r="AA24" s="142"/>
      <c r="AB24" s="142"/>
      <c r="AC24" s="142"/>
      <c r="AD24" s="142"/>
      <c r="AE24" s="142"/>
      <c r="AF24" s="142"/>
      <c r="AG24" s="142"/>
      <c r="AH24" s="142"/>
      <c r="AI24" s="142"/>
      <c r="AJ24" s="142"/>
      <c r="AK24" s="142"/>
      <c r="AL24" s="142"/>
      <c r="AM24" s="142"/>
      <c r="AN24" s="142"/>
      <c r="AO24" s="142"/>
      <c r="AP24" s="61"/>
      <c r="AQ24" s="62">
        <v>94</v>
      </c>
      <c r="AR24" s="66">
        <f>'PF144'!AA103</f>
        <v>0</v>
      </c>
    </row>
    <row r="25" spans="2:44" ht="15" customHeight="1" x14ac:dyDescent="0.55000000000000004">
      <c r="B25" s="34"/>
      <c r="C25" s="65">
        <f>'PF144'!AA25</f>
        <v>0</v>
      </c>
      <c r="D25" s="60">
        <v>16</v>
      </c>
      <c r="E25" s="61"/>
      <c r="F25" s="142"/>
      <c r="G25" s="142"/>
      <c r="H25" s="142"/>
      <c r="I25" s="142"/>
      <c r="J25" s="142"/>
      <c r="K25" s="142"/>
      <c r="L25" s="142"/>
      <c r="M25" s="142"/>
      <c r="N25" s="142"/>
      <c r="O25" s="142"/>
      <c r="P25" s="142"/>
      <c r="Q25" s="142"/>
      <c r="R25" s="142"/>
      <c r="S25" s="142"/>
      <c r="T25" s="142"/>
      <c r="U25" s="142"/>
      <c r="V25" s="142"/>
      <c r="W25" s="142"/>
      <c r="X25" s="142"/>
      <c r="Y25" s="142"/>
      <c r="Z25" s="142"/>
      <c r="AA25" s="142"/>
      <c r="AB25" s="142"/>
      <c r="AC25" s="142"/>
      <c r="AD25" s="142"/>
      <c r="AE25" s="142"/>
      <c r="AF25" s="142"/>
      <c r="AG25" s="142"/>
      <c r="AH25" s="142"/>
      <c r="AI25" s="142"/>
      <c r="AJ25" s="142"/>
      <c r="AK25" s="142"/>
      <c r="AL25" s="142"/>
      <c r="AM25" s="142"/>
      <c r="AN25" s="142"/>
      <c r="AO25" s="142"/>
      <c r="AP25" s="61"/>
      <c r="AQ25" s="62">
        <v>93</v>
      </c>
      <c r="AR25" s="66">
        <f>'PF144'!AA102</f>
        <v>0</v>
      </c>
    </row>
    <row r="26" spans="2:44" ht="15" customHeight="1" x14ac:dyDescent="0.55000000000000004">
      <c r="B26" s="34"/>
      <c r="C26" s="65">
        <f>'PF144'!AA26</f>
        <v>0</v>
      </c>
      <c r="D26" s="60">
        <v>17</v>
      </c>
      <c r="E26" s="61"/>
      <c r="F26" s="142"/>
      <c r="G26" s="142"/>
      <c r="H26" s="142"/>
      <c r="I26" s="142"/>
      <c r="J26" s="142"/>
      <c r="K26" s="142"/>
      <c r="L26" s="142"/>
      <c r="M26" s="142"/>
      <c r="N26" s="142"/>
      <c r="O26" s="142"/>
      <c r="P26" s="142"/>
      <c r="Q26" s="142"/>
      <c r="R26" s="142"/>
      <c r="S26" s="142"/>
      <c r="T26" s="142"/>
      <c r="U26" s="142"/>
      <c r="V26" s="142"/>
      <c r="W26" s="142"/>
      <c r="X26" s="142"/>
      <c r="Y26" s="142"/>
      <c r="Z26" s="142"/>
      <c r="AA26" s="142"/>
      <c r="AB26" s="142"/>
      <c r="AC26" s="142"/>
      <c r="AD26" s="142"/>
      <c r="AE26" s="142"/>
      <c r="AF26" s="142"/>
      <c r="AG26" s="142"/>
      <c r="AH26" s="142"/>
      <c r="AI26" s="142"/>
      <c r="AJ26" s="142"/>
      <c r="AK26" s="142"/>
      <c r="AL26" s="142"/>
      <c r="AM26" s="142"/>
      <c r="AN26" s="142"/>
      <c r="AO26" s="142"/>
      <c r="AP26" s="61"/>
      <c r="AQ26" s="62">
        <v>92</v>
      </c>
      <c r="AR26" s="66">
        <f>'PF144'!AA101</f>
        <v>0</v>
      </c>
    </row>
    <row r="27" spans="2:44" ht="15" customHeight="1" x14ac:dyDescent="0.55000000000000004">
      <c r="B27" s="34"/>
      <c r="C27" s="67" t="str">
        <f>'PF144'!AA27</f>
        <v>VDDIO_HSIO</v>
      </c>
      <c r="D27" s="60">
        <v>18</v>
      </c>
      <c r="E27" s="61"/>
      <c r="F27" s="142"/>
      <c r="G27" s="142"/>
      <c r="H27" s="142"/>
      <c r="I27" s="142"/>
      <c r="J27" s="142"/>
      <c r="K27" s="142"/>
      <c r="L27" s="142"/>
      <c r="M27" s="142"/>
      <c r="N27" s="142"/>
      <c r="O27" s="142"/>
      <c r="P27" s="142"/>
      <c r="Q27" s="142"/>
      <c r="R27" s="142"/>
      <c r="S27" s="142"/>
      <c r="T27" s="142"/>
      <c r="U27" s="142"/>
      <c r="V27" s="142"/>
      <c r="W27" s="142"/>
      <c r="X27" s="142"/>
      <c r="Y27" s="142"/>
      <c r="Z27" s="142"/>
      <c r="AA27" s="142"/>
      <c r="AB27" s="142"/>
      <c r="AC27" s="142"/>
      <c r="AD27" s="142"/>
      <c r="AE27" s="142"/>
      <c r="AF27" s="142"/>
      <c r="AG27" s="142"/>
      <c r="AH27" s="142"/>
      <c r="AI27" s="142"/>
      <c r="AJ27" s="142"/>
      <c r="AK27" s="142"/>
      <c r="AL27" s="142"/>
      <c r="AM27" s="142"/>
      <c r="AN27" s="142"/>
      <c r="AO27" s="142"/>
      <c r="AP27" s="61"/>
      <c r="AQ27" s="62">
        <v>91</v>
      </c>
      <c r="AR27" s="66">
        <f>'PF144'!AA100</f>
        <v>0</v>
      </c>
    </row>
    <row r="28" spans="2:44" ht="15" customHeight="1" x14ac:dyDescent="0.55000000000000004">
      <c r="B28" s="34"/>
      <c r="C28" s="63" t="str">
        <f>'PF144'!AA28</f>
        <v>VSSIO_HSIO</v>
      </c>
      <c r="D28" s="60">
        <v>19</v>
      </c>
      <c r="E28" s="61"/>
      <c r="F28" s="142"/>
      <c r="G28" s="142"/>
      <c r="H28" s="142"/>
      <c r="I28" s="142"/>
      <c r="J28" s="142"/>
      <c r="K28" s="142"/>
      <c r="L28" s="142"/>
      <c r="M28" s="142"/>
      <c r="N28" s="142"/>
      <c r="O28" s="142"/>
      <c r="P28" s="142"/>
      <c r="Q28" s="142"/>
      <c r="R28" s="142"/>
      <c r="S28" s="142"/>
      <c r="T28" s="142"/>
      <c r="U28" s="142"/>
      <c r="V28" s="142"/>
      <c r="W28" s="142"/>
      <c r="X28" s="142"/>
      <c r="Y28" s="142"/>
      <c r="Z28" s="142"/>
      <c r="AA28" s="142"/>
      <c r="AB28" s="142"/>
      <c r="AC28" s="142"/>
      <c r="AD28" s="142"/>
      <c r="AE28" s="142"/>
      <c r="AF28" s="142"/>
      <c r="AG28" s="142"/>
      <c r="AH28" s="142"/>
      <c r="AI28" s="142"/>
      <c r="AJ28" s="142"/>
      <c r="AK28" s="142"/>
      <c r="AL28" s="142"/>
      <c r="AM28" s="142"/>
      <c r="AN28" s="142"/>
      <c r="AO28" s="142"/>
      <c r="AP28" s="61"/>
      <c r="AQ28" s="62">
        <v>90</v>
      </c>
      <c r="AR28" s="66">
        <f>'PF144'!AA99</f>
        <v>0</v>
      </c>
    </row>
    <row r="29" spans="2:44" ht="15" customHeight="1" x14ac:dyDescent="0.55000000000000004">
      <c r="B29" s="34"/>
      <c r="C29" s="67" t="str">
        <f>'PF144'!AA29</f>
        <v>VDDD</v>
      </c>
      <c r="D29" s="60">
        <v>20</v>
      </c>
      <c r="E29" s="61"/>
      <c r="F29" s="142"/>
      <c r="G29" s="142"/>
      <c r="H29" s="142"/>
      <c r="I29" s="142"/>
      <c r="J29" s="142"/>
      <c r="K29" s="142"/>
      <c r="L29" s="142"/>
      <c r="M29" s="142"/>
      <c r="N29" s="142"/>
      <c r="O29" s="142"/>
      <c r="P29" s="142"/>
      <c r="Q29" s="142"/>
      <c r="R29" s="142"/>
      <c r="S29" s="142"/>
      <c r="T29" s="142"/>
      <c r="U29" s="142"/>
      <c r="V29" s="142"/>
      <c r="W29" s="142"/>
      <c r="X29" s="142"/>
      <c r="Y29" s="142"/>
      <c r="Z29" s="142"/>
      <c r="AA29" s="142"/>
      <c r="AB29" s="142"/>
      <c r="AC29" s="142"/>
      <c r="AD29" s="142"/>
      <c r="AE29" s="142"/>
      <c r="AF29" s="142"/>
      <c r="AG29" s="142"/>
      <c r="AH29" s="142"/>
      <c r="AI29" s="142"/>
      <c r="AJ29" s="142"/>
      <c r="AK29" s="142"/>
      <c r="AL29" s="142"/>
      <c r="AM29" s="142"/>
      <c r="AN29" s="142"/>
      <c r="AO29" s="142"/>
      <c r="AP29" s="61"/>
      <c r="AQ29" s="62">
        <v>89</v>
      </c>
      <c r="AR29" s="66">
        <f>'PF144'!AA98</f>
        <v>0</v>
      </c>
    </row>
    <row r="30" spans="2:44" ht="15" customHeight="1" x14ac:dyDescent="0.55000000000000004">
      <c r="B30" s="34"/>
      <c r="C30" s="67" t="str">
        <f>'PF144'!AA30</f>
        <v>VCCD</v>
      </c>
      <c r="D30" s="60">
        <v>21</v>
      </c>
      <c r="E30" s="61"/>
      <c r="F30" s="142"/>
      <c r="G30" s="142"/>
      <c r="H30" s="142"/>
      <c r="I30" s="142"/>
      <c r="J30" s="142"/>
      <c r="K30" s="142"/>
      <c r="L30" s="142"/>
      <c r="M30" s="142"/>
      <c r="N30" s="142"/>
      <c r="O30" s="142"/>
      <c r="P30" s="142"/>
      <c r="Q30" s="142"/>
      <c r="R30" s="142"/>
      <c r="S30" s="142"/>
      <c r="T30" s="142"/>
      <c r="U30" s="142"/>
      <c r="V30" s="142"/>
      <c r="W30" s="142"/>
      <c r="X30" s="142"/>
      <c r="Y30" s="142"/>
      <c r="Z30" s="142"/>
      <c r="AA30" s="142"/>
      <c r="AB30" s="142"/>
      <c r="AC30" s="142"/>
      <c r="AD30" s="142"/>
      <c r="AE30" s="142"/>
      <c r="AF30" s="142"/>
      <c r="AG30" s="142"/>
      <c r="AH30" s="142"/>
      <c r="AI30" s="142"/>
      <c r="AJ30" s="142"/>
      <c r="AK30" s="142"/>
      <c r="AL30" s="142"/>
      <c r="AM30" s="142"/>
      <c r="AN30" s="142"/>
      <c r="AO30" s="142"/>
      <c r="AP30" s="61"/>
      <c r="AQ30" s="62">
        <v>88</v>
      </c>
      <c r="AR30" s="79" t="str">
        <f>'PF144'!AA97</f>
        <v>XRES_L</v>
      </c>
    </row>
    <row r="31" spans="2:44" ht="15" customHeight="1" x14ac:dyDescent="0.55000000000000004">
      <c r="B31" s="34"/>
      <c r="C31" s="63" t="str">
        <f>'PF144'!AA31</f>
        <v>VSSD</v>
      </c>
      <c r="D31" s="60">
        <v>22</v>
      </c>
      <c r="E31" s="61"/>
      <c r="F31" s="142"/>
      <c r="G31" s="142"/>
      <c r="H31" s="142"/>
      <c r="I31" s="142"/>
      <c r="J31" s="142"/>
      <c r="K31" s="142"/>
      <c r="L31" s="142"/>
      <c r="M31" s="142"/>
      <c r="N31" s="142"/>
      <c r="O31" s="142"/>
      <c r="P31" s="142"/>
      <c r="Q31" s="142"/>
      <c r="R31" s="142"/>
      <c r="S31" s="142"/>
      <c r="T31" s="142"/>
      <c r="U31" s="142"/>
      <c r="V31" s="142"/>
      <c r="W31" s="142"/>
      <c r="X31" s="142"/>
      <c r="Y31" s="142"/>
      <c r="Z31" s="142"/>
      <c r="AA31" s="142"/>
      <c r="AB31" s="142"/>
      <c r="AC31" s="142"/>
      <c r="AD31" s="142"/>
      <c r="AE31" s="142"/>
      <c r="AF31" s="142"/>
      <c r="AG31" s="142"/>
      <c r="AH31" s="142"/>
      <c r="AI31" s="142"/>
      <c r="AJ31" s="142"/>
      <c r="AK31" s="142"/>
      <c r="AL31" s="142"/>
      <c r="AM31" s="142"/>
      <c r="AN31" s="142"/>
      <c r="AO31" s="142"/>
      <c r="AP31" s="61"/>
      <c r="AQ31" s="62">
        <v>87</v>
      </c>
      <c r="AR31" s="84" t="str">
        <f>'PF144'!AA96</f>
        <v>VSSD</v>
      </c>
    </row>
    <row r="32" spans="2:44" ht="15" customHeight="1" x14ac:dyDescent="0.55000000000000004">
      <c r="B32" s="34"/>
      <c r="C32" s="65">
        <f>'PF144'!AA32</f>
        <v>0</v>
      </c>
      <c r="D32" s="60">
        <v>23</v>
      </c>
      <c r="E32" s="61"/>
      <c r="F32" s="142"/>
      <c r="G32" s="142"/>
      <c r="H32" s="142"/>
      <c r="I32" s="142"/>
      <c r="J32" s="142"/>
      <c r="K32" s="142"/>
      <c r="L32" s="142"/>
      <c r="M32" s="142"/>
      <c r="N32" s="142"/>
      <c r="O32" s="142"/>
      <c r="P32" s="142"/>
      <c r="Q32" s="142"/>
      <c r="R32" s="142"/>
      <c r="S32" s="142"/>
      <c r="T32" s="142"/>
      <c r="U32" s="142"/>
      <c r="V32" s="142"/>
      <c r="W32" s="142"/>
      <c r="X32" s="142"/>
      <c r="Y32" s="142"/>
      <c r="Z32" s="142"/>
      <c r="AA32" s="142"/>
      <c r="AB32" s="142"/>
      <c r="AC32" s="142"/>
      <c r="AD32" s="142"/>
      <c r="AE32" s="142"/>
      <c r="AF32" s="142"/>
      <c r="AG32" s="142"/>
      <c r="AH32" s="142"/>
      <c r="AI32" s="142"/>
      <c r="AJ32" s="142"/>
      <c r="AK32" s="142"/>
      <c r="AL32" s="142"/>
      <c r="AM32" s="142"/>
      <c r="AN32" s="142"/>
      <c r="AO32" s="142"/>
      <c r="AP32" s="61"/>
      <c r="AQ32" s="62">
        <v>86</v>
      </c>
      <c r="AR32" s="64" t="str">
        <f>'PF144'!AA95</f>
        <v>VCCD</v>
      </c>
    </row>
    <row r="33" spans="2:44" ht="15" customHeight="1" x14ac:dyDescent="0.55000000000000004">
      <c r="B33" s="34"/>
      <c r="C33" s="65">
        <f>'PF144'!AA33</f>
        <v>0</v>
      </c>
      <c r="D33" s="60">
        <v>24</v>
      </c>
      <c r="E33" s="61"/>
      <c r="F33" s="142"/>
      <c r="G33" s="142"/>
      <c r="H33" s="142"/>
      <c r="I33" s="142"/>
      <c r="J33" s="142"/>
      <c r="K33" s="142"/>
      <c r="L33" s="142"/>
      <c r="M33" s="142"/>
      <c r="N33" s="142"/>
      <c r="O33" s="142"/>
      <c r="P33" s="142"/>
      <c r="Q33" s="142"/>
      <c r="R33" s="142"/>
      <c r="S33" s="142"/>
      <c r="T33" s="142"/>
      <c r="U33" s="142"/>
      <c r="V33" s="142"/>
      <c r="W33" s="142"/>
      <c r="X33" s="142"/>
      <c r="Y33" s="142"/>
      <c r="Z33" s="142"/>
      <c r="AA33" s="142"/>
      <c r="AB33" s="142"/>
      <c r="AC33" s="142"/>
      <c r="AD33" s="142"/>
      <c r="AE33" s="142"/>
      <c r="AF33" s="142"/>
      <c r="AG33" s="142"/>
      <c r="AH33" s="142"/>
      <c r="AI33" s="142"/>
      <c r="AJ33" s="142"/>
      <c r="AK33" s="142"/>
      <c r="AL33" s="142"/>
      <c r="AM33" s="142"/>
      <c r="AN33" s="142"/>
      <c r="AO33" s="142"/>
      <c r="AP33" s="61"/>
      <c r="AQ33" s="62">
        <v>85</v>
      </c>
      <c r="AR33" s="64" t="str">
        <f>'PF144'!AA94</f>
        <v>VDDD</v>
      </c>
    </row>
    <row r="34" spans="2:44" ht="15" customHeight="1" x14ac:dyDescent="0.55000000000000004">
      <c r="B34" s="34"/>
      <c r="C34" s="65">
        <f>'PF144'!AA34</f>
        <v>0</v>
      </c>
      <c r="D34" s="60">
        <v>25</v>
      </c>
      <c r="E34" s="61"/>
      <c r="F34" s="142"/>
      <c r="G34" s="142"/>
      <c r="H34" s="142"/>
      <c r="I34" s="142"/>
      <c r="J34" s="142"/>
      <c r="K34" s="142"/>
      <c r="L34" s="142"/>
      <c r="M34" s="142"/>
      <c r="N34" s="142"/>
      <c r="O34" s="142"/>
      <c r="P34" s="142"/>
      <c r="Q34" s="142"/>
      <c r="R34" s="142"/>
      <c r="S34" s="142"/>
      <c r="T34" s="142"/>
      <c r="U34" s="142"/>
      <c r="V34" s="142"/>
      <c r="W34" s="142"/>
      <c r="X34" s="142"/>
      <c r="Y34" s="142"/>
      <c r="Z34" s="142"/>
      <c r="AA34" s="142"/>
      <c r="AB34" s="142"/>
      <c r="AC34" s="142"/>
      <c r="AD34" s="142"/>
      <c r="AE34" s="142"/>
      <c r="AF34" s="142"/>
      <c r="AG34" s="142"/>
      <c r="AH34" s="142"/>
      <c r="AI34" s="142"/>
      <c r="AJ34" s="142"/>
      <c r="AK34" s="142"/>
      <c r="AL34" s="142"/>
      <c r="AM34" s="142"/>
      <c r="AN34" s="142"/>
      <c r="AO34" s="142"/>
      <c r="AP34" s="61"/>
      <c r="AQ34" s="62">
        <v>84</v>
      </c>
      <c r="AR34" s="64" t="str">
        <f>'PF144'!AA93</f>
        <v>VDDD</v>
      </c>
    </row>
    <row r="35" spans="2:44" ht="15" customHeight="1" x14ac:dyDescent="0.55000000000000004">
      <c r="B35" s="34"/>
      <c r="C35" s="65">
        <f>'PF144'!AA35</f>
        <v>0</v>
      </c>
      <c r="D35" s="60">
        <v>26</v>
      </c>
      <c r="E35" s="61"/>
      <c r="F35" s="142"/>
      <c r="G35" s="142"/>
      <c r="H35" s="142"/>
      <c r="I35" s="142"/>
      <c r="J35" s="142"/>
      <c r="K35" s="142"/>
      <c r="L35" s="142"/>
      <c r="M35" s="142"/>
      <c r="N35" s="142"/>
      <c r="O35" s="142"/>
      <c r="P35" s="142"/>
      <c r="Q35" s="142"/>
      <c r="R35" s="142"/>
      <c r="S35" s="142"/>
      <c r="T35" s="142"/>
      <c r="U35" s="142"/>
      <c r="V35" s="142"/>
      <c r="W35" s="142"/>
      <c r="X35" s="142"/>
      <c r="Y35" s="142"/>
      <c r="Z35" s="142"/>
      <c r="AA35" s="142"/>
      <c r="AB35" s="142"/>
      <c r="AC35" s="142"/>
      <c r="AD35" s="142"/>
      <c r="AE35" s="142"/>
      <c r="AF35" s="142"/>
      <c r="AG35" s="142"/>
      <c r="AH35" s="142"/>
      <c r="AI35" s="142"/>
      <c r="AJ35" s="142"/>
      <c r="AK35" s="142"/>
      <c r="AL35" s="142"/>
      <c r="AM35" s="142"/>
      <c r="AN35" s="142"/>
      <c r="AO35" s="142"/>
      <c r="AP35" s="61"/>
      <c r="AQ35" s="62">
        <v>83</v>
      </c>
      <c r="AR35" s="66">
        <f>'PF144'!AA92</f>
        <v>0</v>
      </c>
    </row>
    <row r="36" spans="2:44" ht="15" customHeight="1" x14ac:dyDescent="0.55000000000000004">
      <c r="B36" s="34"/>
      <c r="C36" s="65">
        <f>'PF144'!AA36</f>
        <v>0</v>
      </c>
      <c r="D36" s="60">
        <v>27</v>
      </c>
      <c r="E36" s="61"/>
      <c r="F36" s="142"/>
      <c r="G36" s="142"/>
      <c r="H36" s="142"/>
      <c r="I36" s="142"/>
      <c r="J36" s="142"/>
      <c r="K36" s="142"/>
      <c r="L36" s="142"/>
      <c r="M36" s="142"/>
      <c r="N36" s="142"/>
      <c r="O36" s="142"/>
      <c r="P36" s="142"/>
      <c r="Q36" s="142"/>
      <c r="R36" s="142"/>
      <c r="S36" s="142"/>
      <c r="T36" s="142"/>
      <c r="U36" s="142"/>
      <c r="V36" s="142"/>
      <c r="W36" s="142"/>
      <c r="X36" s="142"/>
      <c r="Y36" s="142"/>
      <c r="Z36" s="142"/>
      <c r="AA36" s="142"/>
      <c r="AB36" s="142"/>
      <c r="AC36" s="142"/>
      <c r="AD36" s="142"/>
      <c r="AE36" s="142"/>
      <c r="AF36" s="142"/>
      <c r="AG36" s="142"/>
      <c r="AH36" s="142"/>
      <c r="AI36" s="142"/>
      <c r="AJ36" s="142"/>
      <c r="AK36" s="142"/>
      <c r="AL36" s="142"/>
      <c r="AM36" s="142"/>
      <c r="AN36" s="142"/>
      <c r="AO36" s="142"/>
      <c r="AP36" s="61"/>
      <c r="AQ36" s="62">
        <v>82</v>
      </c>
      <c r="AR36" s="66">
        <f>'PF144'!AA91</f>
        <v>0</v>
      </c>
    </row>
    <row r="37" spans="2:44" ht="15" customHeight="1" x14ac:dyDescent="0.55000000000000004">
      <c r="B37" s="34"/>
      <c r="C37" s="65">
        <f>'PF144'!AA37</f>
        <v>0</v>
      </c>
      <c r="D37" s="60">
        <v>28</v>
      </c>
      <c r="E37" s="61"/>
      <c r="F37" s="142"/>
      <c r="G37" s="142"/>
      <c r="H37" s="142"/>
      <c r="I37" s="142"/>
      <c r="J37" s="142"/>
      <c r="K37" s="142"/>
      <c r="L37" s="142"/>
      <c r="M37" s="142"/>
      <c r="N37" s="142"/>
      <c r="O37" s="142"/>
      <c r="P37" s="142"/>
      <c r="Q37" s="142"/>
      <c r="R37" s="142"/>
      <c r="S37" s="142"/>
      <c r="T37" s="142"/>
      <c r="U37" s="142"/>
      <c r="V37" s="142"/>
      <c r="W37" s="142"/>
      <c r="X37" s="142"/>
      <c r="Y37" s="142"/>
      <c r="Z37" s="142"/>
      <c r="AA37" s="142"/>
      <c r="AB37" s="142"/>
      <c r="AC37" s="142"/>
      <c r="AD37" s="142"/>
      <c r="AE37" s="142"/>
      <c r="AF37" s="142"/>
      <c r="AG37" s="142"/>
      <c r="AH37" s="142"/>
      <c r="AI37" s="142"/>
      <c r="AJ37" s="142"/>
      <c r="AK37" s="142"/>
      <c r="AL37" s="142"/>
      <c r="AM37" s="142"/>
      <c r="AN37" s="142"/>
      <c r="AO37" s="142"/>
      <c r="AP37" s="61"/>
      <c r="AQ37" s="62">
        <v>81</v>
      </c>
      <c r="AR37" s="66">
        <f>'PF144'!AA90</f>
        <v>0</v>
      </c>
    </row>
    <row r="38" spans="2:44" ht="15" customHeight="1" x14ac:dyDescent="0.55000000000000004">
      <c r="B38" s="34"/>
      <c r="C38" s="65">
        <f>'PF144'!AA38</f>
        <v>0</v>
      </c>
      <c r="D38" s="60">
        <v>29</v>
      </c>
      <c r="E38" s="61"/>
      <c r="F38" s="142"/>
      <c r="G38" s="142"/>
      <c r="H38" s="142"/>
      <c r="I38" s="142"/>
      <c r="J38" s="142"/>
      <c r="K38" s="142"/>
      <c r="L38" s="142"/>
      <c r="M38" s="142"/>
      <c r="N38" s="142"/>
      <c r="O38" s="142"/>
      <c r="P38" s="142"/>
      <c r="Q38" s="142"/>
      <c r="R38" s="142"/>
      <c r="S38" s="142"/>
      <c r="T38" s="142"/>
      <c r="U38" s="142"/>
      <c r="V38" s="142"/>
      <c r="W38" s="142"/>
      <c r="X38" s="142"/>
      <c r="Y38" s="142"/>
      <c r="Z38" s="142"/>
      <c r="AA38" s="142"/>
      <c r="AB38" s="142"/>
      <c r="AC38" s="142"/>
      <c r="AD38" s="142"/>
      <c r="AE38" s="142"/>
      <c r="AF38" s="142"/>
      <c r="AG38" s="142"/>
      <c r="AH38" s="142"/>
      <c r="AI38" s="142"/>
      <c r="AJ38" s="142"/>
      <c r="AK38" s="142"/>
      <c r="AL38" s="142"/>
      <c r="AM38" s="142"/>
      <c r="AN38" s="142"/>
      <c r="AO38" s="142"/>
      <c r="AP38" s="61"/>
      <c r="AQ38" s="62">
        <v>80</v>
      </c>
      <c r="AR38" s="66">
        <f>'PF144'!AA89</f>
        <v>0</v>
      </c>
    </row>
    <row r="39" spans="2:44" ht="15" customHeight="1" x14ac:dyDescent="0.55000000000000004">
      <c r="B39" s="34"/>
      <c r="C39" s="65">
        <f>'PF144'!AA39</f>
        <v>0</v>
      </c>
      <c r="D39" s="60">
        <v>30</v>
      </c>
      <c r="E39" s="61"/>
      <c r="F39" s="142"/>
      <c r="G39" s="142"/>
      <c r="H39" s="142"/>
      <c r="I39" s="142"/>
      <c r="J39" s="142"/>
      <c r="K39" s="142"/>
      <c r="L39" s="142"/>
      <c r="M39" s="142"/>
      <c r="N39" s="142"/>
      <c r="O39" s="142"/>
      <c r="P39" s="142"/>
      <c r="Q39" s="142"/>
      <c r="R39" s="142"/>
      <c r="S39" s="142"/>
      <c r="T39" s="142"/>
      <c r="U39" s="142"/>
      <c r="V39" s="142"/>
      <c r="W39" s="142"/>
      <c r="X39" s="142"/>
      <c r="Y39" s="142"/>
      <c r="Z39" s="142"/>
      <c r="AA39" s="142"/>
      <c r="AB39" s="142"/>
      <c r="AC39" s="142"/>
      <c r="AD39" s="142"/>
      <c r="AE39" s="142"/>
      <c r="AF39" s="142"/>
      <c r="AG39" s="142"/>
      <c r="AH39" s="142"/>
      <c r="AI39" s="142"/>
      <c r="AJ39" s="142"/>
      <c r="AK39" s="142"/>
      <c r="AL39" s="142"/>
      <c r="AM39" s="142"/>
      <c r="AN39" s="142"/>
      <c r="AO39" s="142"/>
      <c r="AP39" s="61"/>
      <c r="AQ39" s="62">
        <v>79</v>
      </c>
      <c r="AR39" s="84" t="str">
        <f>'PF144'!AA88</f>
        <v>VSSD</v>
      </c>
    </row>
    <row r="40" spans="2:44" ht="15" customHeight="1" x14ac:dyDescent="0.55000000000000004">
      <c r="B40" s="34"/>
      <c r="C40" s="65">
        <f>'PF144'!AA40</f>
        <v>0</v>
      </c>
      <c r="D40" s="60">
        <v>31</v>
      </c>
      <c r="E40" s="61"/>
      <c r="F40" s="142"/>
      <c r="G40" s="142"/>
      <c r="H40" s="142"/>
      <c r="I40" s="142"/>
      <c r="J40" s="142"/>
      <c r="K40" s="142"/>
      <c r="L40" s="142"/>
      <c r="M40" s="142"/>
      <c r="N40" s="142"/>
      <c r="O40" s="142"/>
      <c r="P40" s="142"/>
      <c r="Q40" s="142"/>
      <c r="R40" s="142"/>
      <c r="S40" s="142"/>
      <c r="T40" s="142"/>
      <c r="U40" s="142"/>
      <c r="V40" s="142"/>
      <c r="W40" s="142"/>
      <c r="X40" s="142"/>
      <c r="Y40" s="142"/>
      <c r="Z40" s="142"/>
      <c r="AA40" s="142"/>
      <c r="AB40" s="142"/>
      <c r="AC40" s="142"/>
      <c r="AD40" s="142"/>
      <c r="AE40" s="142"/>
      <c r="AF40" s="142"/>
      <c r="AG40" s="142"/>
      <c r="AH40" s="142"/>
      <c r="AI40" s="142"/>
      <c r="AJ40" s="142"/>
      <c r="AK40" s="142"/>
      <c r="AL40" s="142"/>
      <c r="AM40" s="142"/>
      <c r="AN40" s="142"/>
      <c r="AO40" s="142"/>
      <c r="AP40" s="61"/>
      <c r="AQ40" s="62">
        <v>78</v>
      </c>
      <c r="AR40" s="66">
        <f>'PF144'!AA87</f>
        <v>0</v>
      </c>
    </row>
    <row r="41" spans="2:44" ht="15" customHeight="1" x14ac:dyDescent="0.55000000000000004">
      <c r="B41" s="34"/>
      <c r="C41" s="65">
        <f>'PF144'!AA41</f>
        <v>0</v>
      </c>
      <c r="D41" s="60">
        <v>32</v>
      </c>
      <c r="E41" s="61"/>
      <c r="F41" s="142"/>
      <c r="G41" s="142"/>
      <c r="H41" s="142"/>
      <c r="I41" s="142"/>
      <c r="J41" s="142"/>
      <c r="K41" s="142"/>
      <c r="L41" s="142"/>
      <c r="M41" s="142"/>
      <c r="N41" s="142"/>
      <c r="O41" s="142"/>
      <c r="P41" s="142"/>
      <c r="Q41" s="142"/>
      <c r="R41" s="142"/>
      <c r="S41" s="142"/>
      <c r="T41" s="142"/>
      <c r="U41" s="142"/>
      <c r="V41" s="142"/>
      <c r="W41" s="142"/>
      <c r="X41" s="142"/>
      <c r="Y41" s="142"/>
      <c r="Z41" s="142"/>
      <c r="AA41" s="142"/>
      <c r="AB41" s="142"/>
      <c r="AC41" s="142"/>
      <c r="AD41" s="142"/>
      <c r="AE41" s="142"/>
      <c r="AF41" s="142"/>
      <c r="AG41" s="142"/>
      <c r="AH41" s="142"/>
      <c r="AI41" s="142"/>
      <c r="AJ41" s="142"/>
      <c r="AK41" s="142"/>
      <c r="AL41" s="142"/>
      <c r="AM41" s="142"/>
      <c r="AN41" s="142"/>
      <c r="AO41" s="142"/>
      <c r="AP41" s="61"/>
      <c r="AQ41" s="62">
        <v>77</v>
      </c>
      <c r="AR41" s="66">
        <f>'PF144'!AA86</f>
        <v>0</v>
      </c>
    </row>
    <row r="42" spans="2:44" ht="15" customHeight="1" x14ac:dyDescent="0.55000000000000004">
      <c r="B42" s="34"/>
      <c r="C42" s="65">
        <f>'PF144'!AA42</f>
        <v>0</v>
      </c>
      <c r="D42" s="60">
        <v>33</v>
      </c>
      <c r="E42" s="61"/>
      <c r="F42" s="142"/>
      <c r="G42" s="142"/>
      <c r="H42" s="142"/>
      <c r="I42" s="142"/>
      <c r="J42" s="142"/>
      <c r="K42" s="142"/>
      <c r="L42" s="142"/>
      <c r="M42" s="142"/>
      <c r="N42" s="142"/>
      <c r="O42" s="142"/>
      <c r="P42" s="142"/>
      <c r="Q42" s="142"/>
      <c r="R42" s="142"/>
      <c r="S42" s="142"/>
      <c r="T42" s="142"/>
      <c r="U42" s="142"/>
      <c r="V42" s="142"/>
      <c r="W42" s="142"/>
      <c r="X42" s="142"/>
      <c r="Y42" s="142"/>
      <c r="Z42" s="142"/>
      <c r="AA42" s="142"/>
      <c r="AB42" s="142"/>
      <c r="AC42" s="142"/>
      <c r="AD42" s="142"/>
      <c r="AE42" s="142"/>
      <c r="AF42" s="142"/>
      <c r="AG42" s="142"/>
      <c r="AH42" s="142"/>
      <c r="AI42" s="142"/>
      <c r="AJ42" s="142"/>
      <c r="AK42" s="142"/>
      <c r="AL42" s="142"/>
      <c r="AM42" s="142"/>
      <c r="AN42" s="142"/>
      <c r="AO42" s="142"/>
      <c r="AP42" s="61"/>
      <c r="AQ42" s="62">
        <v>76</v>
      </c>
      <c r="AR42" s="66">
        <f>'PF144'!AA85</f>
        <v>0</v>
      </c>
    </row>
    <row r="43" spans="2:44" ht="15" customHeight="1" x14ac:dyDescent="0.55000000000000004">
      <c r="B43" s="34"/>
      <c r="C43" s="65">
        <f>'PF144'!AA43</f>
        <v>0</v>
      </c>
      <c r="D43" s="60">
        <v>34</v>
      </c>
      <c r="E43" s="61"/>
      <c r="F43" s="142"/>
      <c r="G43" s="142"/>
      <c r="H43" s="142"/>
      <c r="I43" s="142"/>
      <c r="J43" s="142"/>
      <c r="K43" s="142"/>
      <c r="L43" s="142"/>
      <c r="M43" s="142"/>
      <c r="N43" s="142"/>
      <c r="O43" s="142"/>
      <c r="P43" s="142"/>
      <c r="Q43" s="142"/>
      <c r="R43" s="142"/>
      <c r="S43" s="142"/>
      <c r="T43" s="142"/>
      <c r="U43" s="142"/>
      <c r="V43" s="142"/>
      <c r="W43" s="142"/>
      <c r="X43" s="142"/>
      <c r="Y43" s="142"/>
      <c r="Z43" s="142"/>
      <c r="AA43" s="142"/>
      <c r="AB43" s="142"/>
      <c r="AC43" s="142"/>
      <c r="AD43" s="142"/>
      <c r="AE43" s="142"/>
      <c r="AF43" s="142"/>
      <c r="AG43" s="142"/>
      <c r="AH43" s="142"/>
      <c r="AI43" s="142"/>
      <c r="AJ43" s="142"/>
      <c r="AK43" s="142"/>
      <c r="AL43" s="142"/>
      <c r="AM43" s="142"/>
      <c r="AN43" s="142"/>
      <c r="AO43" s="142"/>
      <c r="AP43" s="61"/>
      <c r="AQ43" s="62">
        <v>75</v>
      </c>
      <c r="AR43" s="66">
        <f>'PF144'!AA84</f>
        <v>0</v>
      </c>
    </row>
    <row r="44" spans="2:44" ht="15" customHeight="1" x14ac:dyDescent="0.55000000000000004">
      <c r="B44" s="34"/>
      <c r="C44" s="81">
        <f>'PF144'!AA44</f>
        <v>0</v>
      </c>
      <c r="D44" s="60">
        <v>35</v>
      </c>
      <c r="E44" s="61"/>
      <c r="F44" s="142"/>
      <c r="G44" s="142"/>
      <c r="H44" s="142"/>
      <c r="I44" s="142"/>
      <c r="J44" s="142"/>
      <c r="K44" s="142"/>
      <c r="L44" s="142"/>
      <c r="M44" s="142"/>
      <c r="N44" s="142"/>
      <c r="O44" s="142"/>
      <c r="P44" s="142"/>
      <c r="Q44" s="142"/>
      <c r="R44" s="142"/>
      <c r="S44" s="142"/>
      <c r="T44" s="142"/>
      <c r="U44" s="142"/>
      <c r="V44" s="142"/>
      <c r="W44" s="142"/>
      <c r="X44" s="142"/>
      <c r="Y44" s="142"/>
      <c r="Z44" s="142"/>
      <c r="AA44" s="142"/>
      <c r="AB44" s="142"/>
      <c r="AC44" s="142"/>
      <c r="AD44" s="142"/>
      <c r="AE44" s="142"/>
      <c r="AF44" s="142"/>
      <c r="AG44" s="142"/>
      <c r="AH44" s="142"/>
      <c r="AI44" s="142"/>
      <c r="AJ44" s="142"/>
      <c r="AK44" s="142"/>
      <c r="AL44" s="142"/>
      <c r="AM44" s="142"/>
      <c r="AN44" s="142"/>
      <c r="AO44" s="142"/>
      <c r="AP44" s="61"/>
      <c r="AQ44" s="62">
        <v>74</v>
      </c>
      <c r="AR44" s="66">
        <f>'PF144'!AA83</f>
        <v>0</v>
      </c>
    </row>
    <row r="45" spans="2:44" ht="15" customHeight="1" x14ac:dyDescent="0.55000000000000004">
      <c r="B45" s="34"/>
      <c r="C45" s="67" t="str">
        <f>'PF144'!AA45</f>
        <v>VSSD</v>
      </c>
      <c r="D45" s="60">
        <v>36</v>
      </c>
      <c r="E45" s="61"/>
      <c r="F45" s="142"/>
      <c r="G45" s="142"/>
      <c r="H45" s="142"/>
      <c r="I45" s="142"/>
      <c r="J45" s="142"/>
      <c r="K45" s="142"/>
      <c r="L45" s="142"/>
      <c r="M45" s="142"/>
      <c r="N45" s="142"/>
      <c r="O45" s="142"/>
      <c r="P45" s="142"/>
      <c r="Q45" s="142"/>
      <c r="R45" s="142"/>
      <c r="S45" s="142"/>
      <c r="T45" s="142"/>
      <c r="U45" s="142"/>
      <c r="V45" s="142"/>
      <c r="W45" s="142"/>
      <c r="X45" s="142"/>
      <c r="Y45" s="142"/>
      <c r="Z45" s="142"/>
      <c r="AA45" s="142"/>
      <c r="AB45" s="142"/>
      <c r="AC45" s="142"/>
      <c r="AD45" s="142"/>
      <c r="AE45" s="142"/>
      <c r="AF45" s="142"/>
      <c r="AG45" s="142"/>
      <c r="AH45" s="142"/>
      <c r="AI45" s="142"/>
      <c r="AJ45" s="142"/>
      <c r="AK45" s="142"/>
      <c r="AL45" s="142"/>
      <c r="AM45" s="142"/>
      <c r="AN45" s="142"/>
      <c r="AO45" s="142"/>
      <c r="AP45" s="61"/>
      <c r="AQ45" s="62">
        <v>73</v>
      </c>
      <c r="AR45" s="68" t="str">
        <f>'PF144'!AA82</f>
        <v>VSSD</v>
      </c>
    </row>
    <row r="46" spans="2:44" ht="15" customHeight="1" x14ac:dyDescent="0.55000000000000004">
      <c r="D46" s="60"/>
      <c r="E46" s="61"/>
      <c r="F46" s="61"/>
      <c r="G46" s="61"/>
      <c r="H46" s="61"/>
      <c r="I46" s="61"/>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c r="AL46" s="61"/>
      <c r="AM46" s="61"/>
      <c r="AN46" s="61"/>
      <c r="AO46" s="61"/>
      <c r="AP46" s="61"/>
      <c r="AQ46" s="62"/>
    </row>
    <row r="47" spans="2:44" ht="15" customHeight="1" x14ac:dyDescent="0.55000000000000004">
      <c r="D47" s="59"/>
      <c r="E47" s="69"/>
      <c r="F47" s="69">
        <v>37</v>
      </c>
      <c r="G47" s="69">
        <v>38</v>
      </c>
      <c r="H47" s="69">
        <v>39</v>
      </c>
      <c r="I47" s="69">
        <v>40</v>
      </c>
      <c r="J47" s="69">
        <v>41</v>
      </c>
      <c r="K47" s="69">
        <v>42</v>
      </c>
      <c r="L47" s="69">
        <v>43</v>
      </c>
      <c r="M47" s="69">
        <v>44</v>
      </c>
      <c r="N47" s="69">
        <v>45</v>
      </c>
      <c r="O47" s="69">
        <v>46</v>
      </c>
      <c r="P47" s="69">
        <v>47</v>
      </c>
      <c r="Q47" s="69">
        <v>48</v>
      </c>
      <c r="R47" s="69">
        <v>49</v>
      </c>
      <c r="S47" s="69">
        <v>50</v>
      </c>
      <c r="T47" s="69">
        <v>51</v>
      </c>
      <c r="U47" s="69">
        <v>52</v>
      </c>
      <c r="V47" s="69">
        <v>53</v>
      </c>
      <c r="W47" s="69">
        <v>54</v>
      </c>
      <c r="X47" s="69">
        <v>55</v>
      </c>
      <c r="Y47" s="69">
        <v>56</v>
      </c>
      <c r="Z47" s="69">
        <v>57</v>
      </c>
      <c r="AA47" s="69">
        <v>58</v>
      </c>
      <c r="AB47" s="69">
        <v>59</v>
      </c>
      <c r="AC47" s="69">
        <v>60</v>
      </c>
      <c r="AD47" s="69">
        <v>61</v>
      </c>
      <c r="AE47" s="69">
        <v>62</v>
      </c>
      <c r="AF47" s="69">
        <v>63</v>
      </c>
      <c r="AG47" s="69">
        <v>64</v>
      </c>
      <c r="AH47" s="69">
        <v>65</v>
      </c>
      <c r="AI47" s="69">
        <v>66</v>
      </c>
      <c r="AJ47" s="69">
        <v>67</v>
      </c>
      <c r="AK47" s="69">
        <v>68</v>
      </c>
      <c r="AL47" s="69">
        <v>69</v>
      </c>
      <c r="AM47" s="69">
        <v>70</v>
      </c>
      <c r="AN47" s="69">
        <v>71</v>
      </c>
      <c r="AO47" s="69">
        <v>72</v>
      </c>
      <c r="AP47" s="69"/>
      <c r="AQ47" s="57"/>
    </row>
    <row r="48" spans="2:44" ht="105" customHeight="1" x14ac:dyDescent="0.55000000000000004">
      <c r="F48" s="70" t="str">
        <f>'PF144'!AA46</f>
        <v>VDDD</v>
      </c>
      <c r="G48" s="82">
        <f>'PF144'!AA47</f>
        <v>0</v>
      </c>
      <c r="H48" s="82">
        <f>'PF144'!AA48</f>
        <v>0</v>
      </c>
      <c r="I48" s="72">
        <f>'PF144'!AA49</f>
        <v>0</v>
      </c>
      <c r="J48" s="72">
        <f>'PF144'!AA50</f>
        <v>0</v>
      </c>
      <c r="K48" s="72">
        <f>'PF144'!AA51</f>
        <v>0</v>
      </c>
      <c r="L48" s="72">
        <f>'PF144'!AA52</f>
        <v>0</v>
      </c>
      <c r="M48" s="72">
        <f>'PF144'!AA53</f>
        <v>0</v>
      </c>
      <c r="N48" s="72">
        <f>'PF144'!AA54</f>
        <v>0</v>
      </c>
      <c r="O48" s="72">
        <f>'PF144'!AA55</f>
        <v>0</v>
      </c>
      <c r="P48" s="72">
        <f>'PF144'!AA56</f>
        <v>0</v>
      </c>
      <c r="Q48" s="72">
        <f>'PF144'!AA57</f>
        <v>0</v>
      </c>
      <c r="R48" s="72">
        <f>'PF144'!AA58</f>
        <v>0</v>
      </c>
      <c r="S48" s="72">
        <f>'PF144'!AA59</f>
        <v>0</v>
      </c>
      <c r="T48" s="72">
        <f>'PF144'!AA60</f>
        <v>0</v>
      </c>
      <c r="U48" s="72">
        <f>'PF144'!AA61</f>
        <v>0</v>
      </c>
      <c r="V48" s="72">
        <f>'PF144'!AA62</f>
        <v>0</v>
      </c>
      <c r="W48" s="71" t="str">
        <f>'PF144'!AA63</f>
        <v>VDDD</v>
      </c>
      <c r="X48" s="83" t="str">
        <f>'PF144'!AA64</f>
        <v>VSSD</v>
      </c>
      <c r="Y48" s="72">
        <f>'PF144'!AA65</f>
        <v>0</v>
      </c>
      <c r="Z48" s="72">
        <f>'PF144'!AA66</f>
        <v>0</v>
      </c>
      <c r="AA48" s="72">
        <f>'PF144'!AA67</f>
        <v>0</v>
      </c>
      <c r="AB48" s="72">
        <f>'PF144'!AA68</f>
        <v>0</v>
      </c>
      <c r="AC48" s="72">
        <f>'PF144'!AA69</f>
        <v>0</v>
      </c>
      <c r="AD48" s="72">
        <f>'PF144'!AA70</f>
        <v>0</v>
      </c>
      <c r="AE48" s="82">
        <f>'PF144'!AA71</f>
        <v>0</v>
      </c>
      <c r="AF48" s="82">
        <f>'PF144'!AA72</f>
        <v>0</v>
      </c>
      <c r="AG48" s="82">
        <f>'PF144'!AA73</f>
        <v>0</v>
      </c>
      <c r="AH48" s="82">
        <f>'PF144'!AA74</f>
        <v>0</v>
      </c>
      <c r="AI48" s="72">
        <f>'PF144'!AA75</f>
        <v>0</v>
      </c>
      <c r="AJ48" s="72">
        <f>'PF144'!AA76</f>
        <v>0</v>
      </c>
      <c r="AK48" s="72">
        <f>'PF144'!AA77</f>
        <v>0</v>
      </c>
      <c r="AL48" s="72">
        <f>'PF144'!AA78</f>
        <v>0</v>
      </c>
      <c r="AM48" s="72">
        <f>'PF144'!AA79</f>
        <v>0</v>
      </c>
      <c r="AN48" s="72">
        <f>'PF144'!AA80</f>
        <v>0</v>
      </c>
      <c r="AO48" s="71" t="str">
        <f>'PF144'!AA81</f>
        <v>VDDD</v>
      </c>
    </row>
    <row r="59" spans="3:44" ht="14.5" x14ac:dyDescent="0.55000000000000004">
      <c r="C59" s="165" t="s">
        <v>653</v>
      </c>
      <c r="D59" s="165"/>
      <c r="E59" s="165"/>
      <c r="F59" s="165"/>
      <c r="G59" s="165"/>
      <c r="H59" s="165"/>
      <c r="I59" s="165"/>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row>
    <row r="60" spans="3:44" ht="181.5" customHeight="1" x14ac:dyDescent="0.55000000000000004">
      <c r="C60" s="160" t="s">
        <v>654</v>
      </c>
      <c r="D60" s="160"/>
      <c r="E60" s="160"/>
      <c r="F60" s="160"/>
      <c r="G60" s="160"/>
      <c r="H60" s="160"/>
      <c r="I60" s="160"/>
      <c r="J60" s="160"/>
      <c r="K60" s="160"/>
      <c r="L60" s="160"/>
      <c r="M60" s="160"/>
      <c r="N60" s="160"/>
      <c r="O60" s="160"/>
      <c r="P60" s="160"/>
      <c r="Q60" s="160"/>
      <c r="R60" s="160"/>
      <c r="S60" s="160"/>
      <c r="T60" s="160"/>
      <c r="U60" s="160"/>
      <c r="V60" s="160"/>
      <c r="W60" s="160"/>
      <c r="X60" s="160"/>
      <c r="Y60" s="160"/>
      <c r="Z60" s="160"/>
      <c r="AA60" s="160"/>
      <c r="AB60" s="160"/>
      <c r="AC60" s="160"/>
      <c r="AD60" s="160"/>
      <c r="AE60" s="160"/>
      <c r="AF60" s="160"/>
      <c r="AG60" s="160"/>
      <c r="AH60" s="160"/>
      <c r="AI60" s="160"/>
      <c r="AJ60" s="160"/>
      <c r="AK60" s="160"/>
      <c r="AL60" s="160"/>
      <c r="AM60" s="160"/>
      <c r="AN60" s="160"/>
      <c r="AO60" s="160"/>
      <c r="AP60" s="160"/>
      <c r="AQ60" s="160"/>
      <c r="AR60" s="160"/>
    </row>
  </sheetData>
  <sheetProtection algorithmName="SHA-512" hashValue="pswyp/cCs7d7RIXpYrldHiWH/8ZecOJzjnPlM30rNBS8VamajiB2PkA+4ayKE09A3VtFQyxRCbHY8JDdYAsvPw==" saltValue="yvCn0dnh3vrWYpe3LisoBA==" spinCount="100000" sheet="1" objects="1" scenarios="1" formatCells="0" formatColumns="0" formatRows="0" insertColumns="0" insertRows="0" insertHyperlinks="0" deleteColumns="0" deleteRows="0" selectLockedCells="1" sort="0" autoFilter="0" pivotTables="0"/>
  <mergeCells count="3">
    <mergeCell ref="F10:AO45"/>
    <mergeCell ref="C59:AR59"/>
    <mergeCell ref="C60:AR60"/>
  </mergeCells>
  <phoneticPr fontId="3"/>
  <pageMargins left="0.7" right="0.7" top="0.75" bottom="0.75" header="0.3" footer="0.3"/>
  <pageSetup paperSize="9" orientation="portrait" r:id="rId1"/>
  <ignoredErrors>
    <ignoredError sqref="F7:AO9 F46:AO48 F10:AO45 C10:E45 AP10:AR45" unlocked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5675A-7274-4198-8E05-D64613D3D2E8}">
  <dimension ref="B2:D7"/>
  <sheetViews>
    <sheetView workbookViewId="0"/>
  </sheetViews>
  <sheetFormatPr defaultColWidth="8.83203125" defaultRowHeight="14" x14ac:dyDescent="0.3"/>
  <cols>
    <col min="1" max="1" width="4.6640625" style="22" customWidth="1"/>
    <col min="2" max="2" width="10.6640625" style="22" customWidth="1"/>
    <col min="3" max="3" width="12.6640625" style="22" customWidth="1"/>
    <col min="4" max="4" width="80.6640625" style="22" customWidth="1"/>
    <col min="5" max="16384" width="8.83203125" style="22"/>
  </cols>
  <sheetData>
    <row r="2" spans="2:4" x14ac:dyDescent="0.3">
      <c r="B2" s="21" t="s">
        <v>647</v>
      </c>
    </row>
    <row r="4" spans="2:4" x14ac:dyDescent="0.3">
      <c r="B4" s="23" t="s">
        <v>648</v>
      </c>
      <c r="C4" s="23" t="s">
        <v>649</v>
      </c>
      <c r="D4" s="23" t="s">
        <v>650</v>
      </c>
    </row>
    <row r="5" spans="2:4" x14ac:dyDescent="0.3">
      <c r="B5" s="24" t="s">
        <v>651</v>
      </c>
      <c r="C5" s="25" t="s">
        <v>1184</v>
      </c>
      <c r="D5" s="26" t="s">
        <v>652</v>
      </c>
    </row>
    <row r="6" spans="2:4" x14ac:dyDescent="0.3">
      <c r="B6" s="27"/>
      <c r="C6" s="25"/>
      <c r="D6" s="73"/>
    </row>
    <row r="7" spans="2:4" x14ac:dyDescent="0.3">
      <c r="B7" s="27"/>
      <c r="C7" s="25"/>
      <c r="D7" s="28"/>
    </row>
  </sheetData>
  <sheetProtection algorithmName="SHA-512" hashValue="6mxkFKy+yRzKfuytYtgeAj9VKv8o8d2c+0XW0lCTmUwF/GJbTw40R4X9memLrCpVZDX8f7ezFRbu6WxHLz0+Ug==" saltValue="tFStehrDkrL5MVBOIe6AGA==" spinCount="100000" sheet="1" objects="1" scenarios="1"/>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PF176</vt:lpstr>
      <vt:lpstr>PCH176</vt:lpstr>
      <vt:lpstr>PA176</vt:lpstr>
      <vt:lpstr>PF144</vt:lpstr>
      <vt:lpstr>PCH144</vt:lpstr>
      <vt:lpstr>PA144</vt:lpstr>
      <vt:lpstr>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2023-10-13T02:24:01Z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15a25aa-e944-415d-b7a7-40f6b9180b6b_Enabled">
    <vt:lpwstr>true</vt:lpwstr>
  </property>
  <property fmtid="{D5CDD505-2E9C-101B-9397-08002B2CF9AE}" pid="3" name="MSIP_Label_a15a25aa-e944-415d-b7a7-40f6b9180b6b_SetDate">
    <vt:lpwstr>2023-08-09T01:58:40Z</vt:lpwstr>
  </property>
  <property fmtid="{D5CDD505-2E9C-101B-9397-08002B2CF9AE}" pid="4" name="MSIP_Label_a15a25aa-e944-415d-b7a7-40f6b9180b6b_Method">
    <vt:lpwstr>Standard</vt:lpwstr>
  </property>
  <property fmtid="{D5CDD505-2E9C-101B-9397-08002B2CF9AE}" pid="5" name="MSIP_Label_a15a25aa-e944-415d-b7a7-40f6b9180b6b_Name">
    <vt:lpwstr>a15a25aa-e944-415d-b7a7-40f6b9180b6b</vt:lpwstr>
  </property>
  <property fmtid="{D5CDD505-2E9C-101B-9397-08002B2CF9AE}" pid="6" name="MSIP_Label_a15a25aa-e944-415d-b7a7-40f6b9180b6b_SiteId">
    <vt:lpwstr>eeb8d0e8-3544-41d3-aac6-934c309faf5a</vt:lpwstr>
  </property>
  <property fmtid="{D5CDD505-2E9C-101B-9397-08002B2CF9AE}" pid="7" name="MSIP_Label_a15a25aa-e944-415d-b7a7-40f6b9180b6b_ActionId">
    <vt:lpwstr>61f4e273-74fc-47c1-b008-2f9a000d19f2</vt:lpwstr>
  </property>
  <property fmtid="{D5CDD505-2E9C-101B-9397-08002B2CF9AE}" pid="8" name="MSIP_Label_a15a25aa-e944-415d-b7a7-40f6b9180b6b_ContentBits">
    <vt:lpwstr>0</vt:lpwstr>
  </property>
</Properties>
</file>