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8ED1989-10F8-45E0-9DEE-E469D01F76D1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distrato'!$A$1:$H$62</definedName>
    <definedName name="Z_00D0E2B6_F407_4B1C_9AF6_FDC7920B0516_.wvu.FilterData" localSheetId="4" hidden="1">Ágora!$B$2:$AF$16</definedName>
    <definedName name="Z_00D0E2B6_F407_4B1C_9AF6_FDC7920B0516_.wvu.FilterData" localSheetId="2" hidden="1">BTG!$B$2:$AK$866</definedName>
    <definedName name="Z_032236C1_7DF7_43B3_8445_FA4483737404_.wvu.FilterData" localSheetId="2" hidden="1">BTG!$A$2:$AR$862</definedName>
    <definedName name="Z_03621389_A432_45F2_B909_A7245C4F16C9_.wvu.FilterData" localSheetId="2" hidden="1">BTG!$A$1:$AT$862</definedName>
    <definedName name="Z_040CB123_C93E_4921_B22E_729A6CA2515A_.wvu.FilterData" localSheetId="4" hidden="1">Ágora!$AF$2:$AF$26</definedName>
    <definedName name="Z_040CB123_C93E_4921_B22E_729A6CA2515A_.wvu.FilterData" localSheetId="2" hidden="1">BTG!$AK$2:$AK$871</definedName>
    <definedName name="Z_040CB123_C93E_4921_B22E_729A6CA2515A_.wvu.FilterData" localSheetId="3" hidden="1">Guide!$A$1:$CA$395</definedName>
    <definedName name="Z_043EDE87_F627_4272_AF7E_4799C4BFDB28_.wvu.FilterData" localSheetId="2" hidden="1">BTG!$A$2:$AS$862</definedName>
    <definedName name="Z_05E084CD_9740_4047_996C_D7D8EF14C074_.wvu.FilterData" localSheetId="2" hidden="1">BTG!$A$2:$AQ$862</definedName>
    <definedName name="Z_05EE2FE8_A348_49B7_BAD8_2996D4687A74_.wvu.FilterData" localSheetId="2" hidden="1">BTG!$AD$2:$AD$871</definedName>
    <definedName name="Z_05EE2FE8_A348_49B7_BAD8_2996D4687A74_.wvu.FilterData" localSheetId="3" hidden="1">Guide!$K$2:$K$403</definedName>
    <definedName name="Z_0616E5D7_6B15_4886_AF37_50EDCE1D812A_.wvu.FilterData" localSheetId="4" hidden="1">Ágora!$B$2:$AG$15</definedName>
    <definedName name="Z_0616E5D7_6B15_4886_AF37_50EDCE1D812A_.wvu.FilterData" localSheetId="2" hidden="1">BTG!$B$2:$AL$866</definedName>
    <definedName name="Z_087EDDD0_D955_4A10_AEB2_58B45FFB9F46_.wvu.FilterData" localSheetId="2" hidden="1">BTG!$A$1:$AN$866</definedName>
    <definedName name="Z_08C8AD6C_84D0_4BB5_A738_EFBCD0ECB57B_.wvu.FilterData" localSheetId="4" hidden="1">Ágora!$B$2:$AD$16</definedName>
    <definedName name="Z_08C8AD6C_84D0_4BB5_A738_EFBCD0ECB57B_.wvu.FilterData" localSheetId="2" hidden="1">BTG!$B$2:$AI$866</definedName>
    <definedName name="Z_08C8AD6C_84D0_4BB5_A738_EFBCD0ECB57B_.wvu.FilterData" localSheetId="3" hidden="1">Guide!$B$2:$P$403</definedName>
    <definedName name="Z_0CA26242_E290_4B7A_BB85_3A5C0657C0D6_.wvu.FilterData" localSheetId="2" hidden="1">BTG!$A$2:$AT$862</definedName>
    <definedName name="Z_0D21AE6D_432F_4D86_9567_D984D5C38E3E_.wvu.FilterData" localSheetId="4" hidden="1">Ágora!$B$2:$AF$26</definedName>
    <definedName name="Z_0D21AE6D_432F_4D86_9567_D984D5C38E3E_.wvu.FilterData" localSheetId="2" hidden="1">BTG!$B$2:$AK$871</definedName>
    <definedName name="Z_0F0D030E_B001_479F_B50D_63AC92171C87_.wvu.FilterData" localSheetId="4" hidden="1">Ágora!$B$2:$AG$15</definedName>
    <definedName name="Z_0F0D030E_B001_479F_B50D_63AC92171C87_.wvu.FilterData" localSheetId="2" hidden="1">BTG!$B$2:$AL$866</definedName>
    <definedName name="Z_0F121652_EB71_432D_9FEB_BD49F86EBDB7_.wvu.FilterData" localSheetId="2" hidden="1">BTG!$A$1:$AQ$862</definedName>
    <definedName name="Z_11490E76_A4C7_4701_9522_DF8F08B6EC2D_.wvu.FilterData" localSheetId="4" hidden="1">Ágora!$B$2:$AG$15</definedName>
    <definedName name="Z_11490E76_A4C7_4701_9522_DF8F08B6EC2D_.wvu.FilterData" localSheetId="2" hidden="1">BTG!$B$2:$AL$866</definedName>
    <definedName name="Z_11678CA9_4AFA_466E_A9CB_A9B48CEF08D2_.wvu.FilterData" localSheetId="2" hidden="1">BTG!$A$1:$AT$862</definedName>
    <definedName name="Z_1372FA21_B41A_4AFA_8E15_B6E16AD4F49A_.wvu.FilterData" localSheetId="4" hidden="1">Ágora!$AG$2:$AG$26</definedName>
    <definedName name="Z_1372FA21_B41A_4AFA_8E15_B6E16AD4F49A_.wvu.FilterData" localSheetId="2" hidden="1">BTG!$AL$2:$AL$871</definedName>
    <definedName name="Z_14528097_6D5E_45E5_A988_73D13BE966AE_.wvu.FilterData" localSheetId="4" hidden="1">Ágora!$B$2:$AG$26</definedName>
    <definedName name="Z_14528097_6D5E_45E5_A988_73D13BE966AE_.wvu.FilterData" localSheetId="2" hidden="1">BTG!$B$2:$AL$871</definedName>
    <definedName name="Z_1901C315_A6F4_40C5_97AE_20FEA30D1998_.wvu.FilterData" localSheetId="4" hidden="1">Ágora!$K$2:$K$26</definedName>
    <definedName name="Z_1901C315_A6F4_40C5_97AE_20FEA30D1998_.wvu.FilterData" localSheetId="2" hidden="1">BTG!$K$2:$K$871</definedName>
    <definedName name="Z_1973AF07_A6A6_4C06_81E1_DBC5B1B2B7FA_.wvu.FilterData" localSheetId="4" hidden="1">Ágora!$B$2:$AG$15</definedName>
    <definedName name="Z_1973AF07_A6A6_4C06_81E1_DBC5B1B2B7FA_.wvu.FilterData" localSheetId="2" hidden="1">BTG!$B$2:$AL$866</definedName>
    <definedName name="Z_1E802A29_AF72_4ED4_A5B6_E025507C90ED_.wvu.FilterData" localSheetId="2" hidden="1">BTG!$A$1:$AT$862</definedName>
    <definedName name="Z_1E87707B_6D76_46E7_BC5B_AB6DDDF993FE_.wvu.FilterData" localSheetId="2" hidden="1">BTG!$D$2:$E$864</definedName>
    <definedName name="Z_204BBEC0_3DDC_415E_A212_9EEF6C586A3D_.wvu.FilterData" localSheetId="2" hidden="1">BTG!$A$1:$AN$871</definedName>
    <definedName name="Z_20CA8F9B_4278_405F_AFBC_C3C50178C888_.wvu.FilterData" localSheetId="2" hidden="1">BTG!$A$1:$AN$866</definedName>
    <definedName name="Z_20CA8F9B_4278_405F_AFBC_C3C50178C888_.wvu.FilterData" localSheetId="3" hidden="1">Guide!$A$1:$CC$395</definedName>
    <definedName name="Z_23B9B2B3_A936_4DBD_88B3_0A988C85FAAA_.wvu.FilterData" localSheetId="4" hidden="1">Ágora!$D$2:$AF$26</definedName>
    <definedName name="Z_23B9B2B3_A936_4DBD_88B3_0A988C85FAAA_.wvu.FilterData" localSheetId="2" hidden="1">BTG!$D$2:$AK$871</definedName>
    <definedName name="Z_23B9B2B3_A936_4DBD_88B3_0A988C85FAAA_.wvu.FilterData" localSheetId="3" hidden="1">Guide!$A$2:$CA$395</definedName>
    <definedName name="Z_23FB3692_44FA_48F6_A6A3_5EA30732F04D_.wvu.FilterData" localSheetId="2" hidden="1">BTG!$A$2:$AN$866</definedName>
    <definedName name="Z_23FB3692_44FA_48F6_A6A3_5EA30732F04D_.wvu.FilterData" localSheetId="1" hidden="1">'Clientes Novos'!$A$1:$P$1</definedName>
    <definedName name="Z_23FB3692_44FA_48F6_A6A3_5EA30732F04D_.wvu.FilterData" localSheetId="3" hidden="1">Guide!$K$2:$K$403</definedName>
    <definedName name="Z_2407A6C7_31DF_44B0_A8FB_FF699038E3C6_.wvu.FilterData" localSheetId="2" hidden="1">BTG!$A$2:$AT$862</definedName>
    <definedName name="Z_246A3A7B_7F9B_4FB7_925E_3EF6CCB76B1A_.wvu.FilterData" localSheetId="4" hidden="1">Ágora!$B$2:$AG$15</definedName>
    <definedName name="Z_246A3A7B_7F9B_4FB7_925E_3EF6CCB76B1A_.wvu.FilterData" localSheetId="2" hidden="1">BTG!$B$2:$AL$866</definedName>
    <definedName name="Z_28003C19_2592_44F6_BF45_63AC343ABDD2_.wvu.FilterData" localSheetId="4" hidden="1">Ágora!$B$2:$AD$16</definedName>
    <definedName name="Z_28003C19_2592_44F6_BF45_63AC343ABDD2_.wvu.FilterData" localSheetId="2" hidden="1">BTG!$B$2:$AI$866</definedName>
    <definedName name="Z_28003C19_2592_44F6_BF45_63AC343ABDD2_.wvu.FilterData" localSheetId="3" hidden="1">Guide!$K$2:$P$403</definedName>
    <definedName name="Z_283E914E_7EE7_4CCA_8962_BAB60323102B_.wvu.FilterData" localSheetId="4" hidden="1">Ágora!$F$2:$F$26</definedName>
    <definedName name="Z_283E914E_7EE7_4CCA_8962_BAB60323102B_.wvu.FilterData" localSheetId="2" hidden="1">BTG!$F$2:$F$871</definedName>
    <definedName name="Z_283E914E_7EE7_4CCA_8962_BAB60323102B_.wvu.FilterData" localSheetId="3" hidden="1">Guide!$A$2:$BZ$395</definedName>
    <definedName name="Z_294CB357_E3E9_4C1F_891C_43CF83DD63F6_.wvu.FilterData" localSheetId="4" hidden="1">Ágora!$B$2:$AF$26</definedName>
    <definedName name="Z_294CB357_E3E9_4C1F_891C_43CF83DD63F6_.wvu.FilterData" localSheetId="2" hidden="1">BTG!$B$2:$AK$871</definedName>
    <definedName name="Z_294CB357_E3E9_4C1F_891C_43CF83DD63F6_.wvu.FilterData" localSheetId="3" hidden="1">Guide!$A$1:$BZ$395</definedName>
    <definedName name="Z_2B78DB92_23ED_41AE_800E_0D62B2C0D00C_.wvu.FilterData" localSheetId="2" hidden="1">BTG!$A$1:$AR$862</definedName>
    <definedName name="Z_2C628EB8_8BA1_4BFD_859B_320FB2EF19D4_.wvu.FilterData" localSheetId="2" hidden="1">BTG!$A$2:$AR$862</definedName>
    <definedName name="Z_2C9124D0_7FCF_497F_9368_4953D3BA07DF_.wvu.FilterData" localSheetId="2" hidden="1">BTG!$A$1:$AS$862</definedName>
    <definedName name="Z_2CDCAD71_1E51_4539_9113_89C3873F6C7A_.wvu.FilterData" localSheetId="2" hidden="1">BTG!$A$1:$AO$870</definedName>
    <definedName name="Z_2F7750B9_9992_4A72_83F7_EB5DC96A8C8F_.wvu.FilterData" localSheetId="4" hidden="1">Ágora!$D$2:$F$26</definedName>
    <definedName name="Z_2F7750B9_9992_4A72_83F7_EB5DC96A8C8F_.wvu.FilterData" localSheetId="2" hidden="1">BTG!$D$2:$F$871</definedName>
    <definedName name="Z_31B4B408_8519_4267_A60B_88A51E9F259A_.wvu.FilterData" localSheetId="4" hidden="1">Ágora!$B$2:$AF$16</definedName>
    <definedName name="Z_31B4B408_8519_4267_A60B_88A51E9F259A_.wvu.FilterData" localSheetId="2" hidden="1">BTG!$B$2:$AK$866</definedName>
    <definedName name="Z_34E5B49D_F813_442A_A2D6_09825055367C_.wvu.FilterData" localSheetId="2" hidden="1">BTG!$A$1:$AR$862</definedName>
    <definedName name="Z_35AFBB65_2A8A_4F75_8E78_9B85B0D5EECC_.wvu.FilterData" localSheetId="4" hidden="1">Ágora!$B$2:$AD$16</definedName>
    <definedName name="Z_35AFBB65_2A8A_4F75_8E78_9B85B0D5EECC_.wvu.FilterData" localSheetId="2" hidden="1">BTG!$B$2:$AI$866</definedName>
    <definedName name="Z_35AFBB65_2A8A_4F75_8E78_9B85B0D5EECC_.wvu.FilterData" localSheetId="3" hidden="1">Guide!$K$2:$K$403</definedName>
    <definedName name="Z_35EF1651_84D8_4F09_8353_391BFF2EC862_.wvu.FilterData" localSheetId="4" hidden="1">Ágora!$B$2:$AF$16</definedName>
    <definedName name="Z_35EF1651_84D8_4F09_8353_391BFF2EC862_.wvu.FilterData" localSheetId="2" hidden="1">BTG!$B$2:$AK$866</definedName>
    <definedName name="Z_35EF1651_84D8_4F09_8353_391BFF2EC862_.wvu.FilterData" localSheetId="3" hidden="1">Guide!$B$2:$BQ$395</definedName>
    <definedName name="Z_377BE576_1A61_4B92_81BE_0D74B3709F1F_.wvu.FilterData" localSheetId="4" hidden="1">Ágora!$D$2:$F$26</definedName>
    <definedName name="Z_377BE576_1A61_4B92_81BE_0D74B3709F1F_.wvu.FilterData" localSheetId="2" hidden="1">BTG!$D$2:$F$871</definedName>
    <definedName name="Z_3823B51D_6CEC_4168_91C6_998F5EA5904A_.wvu.FilterData" localSheetId="2" hidden="1">BTG!$A$1:$AT$862</definedName>
    <definedName name="Z_3901FD6E_3E4F_42B5_8DD9_4832B527D658_.wvu.FilterData" localSheetId="2" hidden="1">BTG!$A$1:$BA$866</definedName>
    <definedName name="Z_3971B9B5_E64A_4827_A358_4F02E4E81641_.wvu.FilterData" localSheetId="4" hidden="1">Ágora!$K$2:$K$26</definedName>
    <definedName name="Z_3971B9B5_E64A_4827_A358_4F02E4E81641_.wvu.FilterData" localSheetId="2" hidden="1">BTG!$K$2:$K$871</definedName>
    <definedName name="Z_3971B9B5_E64A_4827_A358_4F02E4E81641_.wvu.FilterData" localSheetId="3" hidden="1">Guide!$K$2:$K$403</definedName>
    <definedName name="Z_39D9A1F7_1A24_4CA1_BED4_4ECC2E944BEC_.wvu.FilterData" localSheetId="2" hidden="1">BTG!$A$1:$AR$862</definedName>
    <definedName name="Z_3B113019_417A_4BFD_B6A1_E3CF113E7982_.wvu.FilterData" localSheetId="2" hidden="1">BTG!$A$1:$AR$871</definedName>
    <definedName name="Z_3B11E87A_6304_4141_B5A2_4F7F7226131F_.wvu.FilterData" localSheetId="2" hidden="1">BTG!$A$1:$AQ$862</definedName>
    <definedName name="Z_40E72F40_E61C_45D8_9C35_1EFD914C9F1D_.wvu.FilterData" localSheetId="2" hidden="1">BTG!$A$1:$AS$862</definedName>
    <definedName name="Z_41D88D91_A03F_4905_86BE_3778DE8CB239_.wvu.FilterData" localSheetId="4" hidden="1">Ágora!$K$2:$K$26</definedName>
    <definedName name="Z_41D88D91_A03F_4905_86BE_3778DE8CB239_.wvu.FilterData" localSheetId="2" hidden="1">BTG!$K$2:$K$871</definedName>
    <definedName name="Z_42803860_2CA3_409B_89FC_7CB037BF407B_.wvu.FilterData" localSheetId="4" hidden="1">Ágora!$B$2:$AG$15</definedName>
    <definedName name="Z_42803860_2CA3_409B_89FC_7CB037BF407B_.wvu.FilterData" localSheetId="2" hidden="1">BTG!$B$2:$AL$866</definedName>
    <definedName name="Z_44C28A3A_F9E3_4AFE_B9E9_255038725DDE_.wvu.FilterData" localSheetId="4" hidden="1">Ágora!$B$2:$AD$16</definedName>
    <definedName name="Z_44C28A3A_F9E3_4AFE_B9E9_255038725DDE_.wvu.FilterData" localSheetId="2" hidden="1">BTG!$B$2:$AI$866</definedName>
    <definedName name="Z_44C28A3A_F9E3_4AFE_B9E9_255038725DDE_.wvu.FilterData" localSheetId="3" hidden="1">Guide!$B$2:$P$403</definedName>
    <definedName name="Z_47A47A2F_F615_4BFB_8F2D_C0D17609542E_.wvu.FilterData" localSheetId="2" hidden="1">BTG!$A$1:$AQ$862</definedName>
    <definedName name="Z_47DE036D_B20F_44CC_9B9D_1FC12335F326_.wvu.FilterData" localSheetId="4" hidden="1">Ágora!$F$2:$F$26</definedName>
    <definedName name="Z_47DE036D_B20F_44CC_9B9D_1FC12335F326_.wvu.FilterData" localSheetId="2" hidden="1">BTG!$F$2:$F$871</definedName>
    <definedName name="Z_47DE036D_B20F_44CC_9B9D_1FC12335F326_.wvu.FilterData" localSheetId="3" hidden="1">Guide!$B$2:$BS$403</definedName>
    <definedName name="Z_48B6169D_1122_4967_AD24_766EB4659D8E_.wvu.FilterData" localSheetId="2" hidden="1">BTG!$A$2:$AN$866</definedName>
    <definedName name="Z_49A6CA0C_1E18_42CE_8B6B_ED7A802BABF7_.wvu.FilterData" localSheetId="2" hidden="1">BTG!$A$1:$AO$871</definedName>
    <definedName name="Z_4A38E3F3_D81A_41F1_90F5_02ABD8C231BC_.wvu.FilterData" localSheetId="4" hidden="1">Ágora!$B$2:$AF$16</definedName>
    <definedName name="Z_4A38E3F3_D81A_41F1_90F5_02ABD8C231BC_.wvu.FilterData" localSheetId="2" hidden="1">BTG!$B$2:$AK$866</definedName>
    <definedName name="Z_4A38E3F3_D81A_41F1_90F5_02ABD8C231BC_.wvu.FilterData" localSheetId="3" hidden="1">Guide!$K$2:$K$403</definedName>
    <definedName name="Z_4AD52135_278F_4BAA_820A_B7D4DCEAE217_.wvu.FilterData" localSheetId="2" hidden="1">BTG!$A$1:$AN$866</definedName>
    <definedName name="Z_4D3520F4_82B8_427F_AB69_ACA7DAE17185_.wvu.FilterData" localSheetId="2" hidden="1">BTG!$A$1:$AR$862</definedName>
    <definedName name="Z_4D6E5146_1B1B_45BD_81CC_02322B99761B_.wvu.FilterData" localSheetId="4" hidden="1">Ágora!$K$2:$K$26</definedName>
    <definedName name="Z_4D6E5146_1B1B_45BD_81CC_02322B99761B_.wvu.FilterData" localSheetId="2" hidden="1">BTG!$K$2:$K$871</definedName>
    <definedName name="Z_4D6E5146_1B1B_45BD_81CC_02322B99761B_.wvu.FilterData" localSheetId="3" hidden="1">Guide!$B$2:$P$403</definedName>
    <definedName name="Z_50FB7D11_3DC7_4E6D_9979_4CA4CFEC99D4_.wvu.FilterData" localSheetId="2" hidden="1">BTG!$A$1:$AN$866</definedName>
    <definedName name="Z_5985B50B_589A_4557_BF13_FBD2AA6CBFEF_.wvu.FilterData" localSheetId="4" hidden="1">Ágora!$B$2:$AG$16</definedName>
    <definedName name="Z_5985B50B_589A_4557_BF13_FBD2AA6CBFEF_.wvu.FilterData" localSheetId="2" hidden="1">BTG!$B$2:$AL$866</definedName>
    <definedName name="Z_599401B2_984C_44B9_A17F_64A00875707C_.wvu.FilterData" localSheetId="2" hidden="1">BTG!$A$1:$AP$862</definedName>
    <definedName name="Z_59E61F62_C382_47A3_BF03_F175D78DF924_.wvu.FilterData" localSheetId="2" hidden="1">BTG!$A$1:$AS$862</definedName>
    <definedName name="Z_5AE29003_739D_420D_B90A_30B0A15E139C_.wvu.FilterData" localSheetId="4" hidden="1">Ágora!$D$2:$F$26</definedName>
    <definedName name="Z_5AE29003_739D_420D_B90A_30B0A15E139C_.wvu.FilterData" localSheetId="2" hidden="1">BTG!$D$2:$F$871</definedName>
    <definedName name="Z_5BE1A573_7F5C_4165_AEAB_13C2F8CBD466_.wvu.FilterData" localSheetId="4" hidden="1">Ágora!$D$2:$AF$26</definedName>
    <definedName name="Z_5BE1A573_7F5C_4165_AEAB_13C2F8CBD466_.wvu.FilterData" localSheetId="2" hidden="1">BTG!$D$2:$AK$871</definedName>
    <definedName name="Z_5BE1A573_7F5C_4165_AEAB_13C2F8CBD466_.wvu.FilterData" localSheetId="3" hidden="1">Guide!$A$1:$CC$395</definedName>
    <definedName name="Z_5D44B39B_277B_4C7A_BD8A_5463D70ACC0F_.wvu.FilterData" localSheetId="4" hidden="1">Ágora!$B$2:$AF$16</definedName>
    <definedName name="Z_5D44B39B_277B_4C7A_BD8A_5463D70ACC0F_.wvu.FilterData" localSheetId="2" hidden="1">BTG!$B$2:$AK$866</definedName>
    <definedName name="Z_5D44B39B_277B_4C7A_BD8A_5463D70ACC0F_.wvu.FilterData" localSheetId="3" hidden="1">Guide!$A$2:$BZ$395</definedName>
    <definedName name="Z_5EB0C5AD_DFBD_4FB9_94ED_9F9FB5DD6702_.wvu.FilterData" localSheetId="2" hidden="1">BTG!$A$1:$AT$862</definedName>
    <definedName name="Z_5FC98926_A07B_4DFB_82A7_B8D230977B44_.wvu.FilterData" localSheetId="4" hidden="1">Ágora!$Q$2:$Q$26</definedName>
    <definedName name="Z_5FC98926_A07B_4DFB_82A7_B8D230977B44_.wvu.FilterData" localSheetId="2" hidden="1">BTG!$Q$2:$Q$871</definedName>
    <definedName name="Z_605655AF_967C_4FE8_98BD_BA56DA4EFD94_.wvu.FilterData" localSheetId="2" hidden="1">BTG!$A$2:$AS$862</definedName>
    <definedName name="Z_607A6C2D_8F47_4801_91A8_3282BD234C64_.wvu.FilterData" localSheetId="2" hidden="1">BTG!$A$2:$AT$862</definedName>
    <definedName name="Z_6107B431_5DDD_4001_A262_3DA1E5D1397B_.wvu.FilterData" localSheetId="2" hidden="1">BTG!$A$1:$AQ$871</definedName>
    <definedName name="Z_625A5899_51C4_4745_8B4C_358F7EF9D3F9_.wvu.FilterData" localSheetId="2" hidden="1">BTG!$A$1:$AN$866</definedName>
    <definedName name="Z_66587AA9_651A_477C_920F_6526E8A97CBA_.wvu.FilterData" localSheetId="2" hidden="1">BTG!$A$1:$AN$866</definedName>
    <definedName name="Z_679BD5E5_95BB_4039_B6AC_606ED333589C_.wvu.FilterData" localSheetId="2" hidden="1">BTG!$A$1:$AT$862</definedName>
    <definedName name="Z_6BBFEC2A_85D4_4D28_BE2A_F50DC8A5C326_.wvu.FilterData" localSheetId="2" hidden="1">BTG!$A$1:$AQ$862</definedName>
    <definedName name="Z_6DD1A8B5_3E4E_4EE9_AEEA_94DAACE948D7_.wvu.FilterData" localSheetId="2" hidden="1">BTG!$A$2:$AT$862</definedName>
    <definedName name="Z_6E3948AB_65AC_43C1_8DD3_5D5B3DE10666_.wvu.FilterData" localSheetId="2" hidden="1">BTG!$A$1:$AQ$862</definedName>
    <definedName name="Z_6EBCB877_02FC_4B13_9BB1_D9B981E49061_.wvu.FilterData" localSheetId="2" hidden="1">BTG!$A$1:$AO$871</definedName>
    <definedName name="Z_6F46F194_7968_4331_8727_DBC55E768B17_.wvu.FilterData" localSheetId="2" hidden="1">BTG!$A$1:$AP$871</definedName>
    <definedName name="Z_701E13BA_FC77_4569_A58E_12AEA485D7B6_.wvu.FilterData" localSheetId="2" hidden="1">BTG!$A$1:$AN$866</definedName>
    <definedName name="Z_72605CD4_D183_43EC_B14E_A23E6A40422F_.wvu.FilterData" localSheetId="2" hidden="1">BTG!$A$1:$AR$862</definedName>
    <definedName name="Z_7273C0E8_30B6_4D07_8902_8E93E444CC3F_.wvu.FilterData" localSheetId="2" hidden="1">BTG!$A$1:$AN$866</definedName>
    <definedName name="Z_73804860_C66F_4AD9_A5ED_DE9B46A8E773_.wvu.FilterData" localSheetId="4" hidden="1">Ágora!$B$2:$AD$16</definedName>
    <definedName name="Z_73804860_C66F_4AD9_A5ED_DE9B46A8E773_.wvu.FilterData" localSheetId="2" hidden="1">BTG!$B$2:$AI$866</definedName>
    <definedName name="Z_73804860_C66F_4AD9_A5ED_DE9B46A8E773_.wvu.FilterData" localSheetId="1" hidden="1">'Clientes Novos'!$C$1</definedName>
    <definedName name="Z_73804860_C66F_4AD9_A5ED_DE9B46A8E773_.wvu.FilterData" localSheetId="3" hidden="1">Guide!$B$2:$BP$395</definedName>
    <definedName name="Z_73D159ED_31C6_4017_BE46_1B4BE7230613_.wvu.FilterData" localSheetId="2" hidden="1">BTG!$A$1:$AN$866</definedName>
    <definedName name="Z_7695ECAD_052A_41E6_9B10_9855CE143A7A_.wvu.FilterData" localSheetId="4" hidden="1">Ágora!$D$2:$K$26</definedName>
    <definedName name="Z_7695ECAD_052A_41E6_9B10_9855CE143A7A_.wvu.FilterData" localSheetId="2" hidden="1">BTG!$D$2:$K$871</definedName>
    <definedName name="Z_7695ECAD_052A_41E6_9B10_9855CE143A7A_.wvu.FilterData" localSheetId="3" hidden="1">Guide!$A$1:$BY$403</definedName>
    <definedName name="Z_77B53FB4_042F_4065_A12E_1D5A3E1AD3D4_.wvu.FilterData" localSheetId="2" hidden="1">BTG!$A$2:$AR$862</definedName>
    <definedName name="Z_7A3EEC3D_B852_4E63_9D17_79319870A059_.wvu.FilterData" localSheetId="4" hidden="1">Ágora!$B$2:$AD$16</definedName>
    <definedName name="Z_7A3EEC3D_B852_4E63_9D17_79319870A059_.wvu.FilterData" localSheetId="2" hidden="1">BTG!$B$2:$AI$866</definedName>
    <definedName name="Z_7A3EEC3D_B852_4E63_9D17_79319870A059_.wvu.FilterData" localSheetId="3" hidden="1">Guide!$K$2:$P$403</definedName>
    <definedName name="Z_7A7BC0F0_4C7D_4610_9F98_047A8D0EAF59_.wvu.FilterData" localSheetId="2" hidden="1">BTG!$A$1:$AO$866</definedName>
    <definedName name="Z_7B13DC17_4543_4231_9102_95C3CA931642_.wvu.FilterData" localSheetId="2" hidden="1">BTG!$A$1:$AT$862</definedName>
    <definedName name="Z_7EB61E02_ACD8_4BDA_9738_B2CE66CCD218_.wvu.FilterData" localSheetId="2" hidden="1">BTG!$A$1:$AO$866</definedName>
    <definedName name="Z_815845EE_26CC_410C_A0D4_417634C0BE2D_.wvu.FilterData" localSheetId="2" hidden="1">BTG!$J$1:$P$861</definedName>
    <definedName name="Z_825F61B6_50E0_40D2_98F1_D4778FDA7DBB_.wvu.FilterData" localSheetId="2" hidden="1">BTG!$A$1:$AR$862</definedName>
    <definedName name="Z_83C7FF90_A5AD_4758_A2B4_300004226B48_.wvu.FilterData" localSheetId="2" hidden="1">BTG!$B$2:$AM$866</definedName>
    <definedName name="Z_83C7FF90_A5AD_4758_A2B4_300004226B48_.wvu.FilterData" localSheetId="1" hidden="1">'Clientes Novos'!$A$1:$P$1</definedName>
    <definedName name="Z_83C7FF90_A5AD_4758_A2B4_300004226B48_.wvu.FilterData" localSheetId="3" hidden="1">Guide!$K$2:$K$403</definedName>
    <definedName name="Z_8566B7D8_30A7_451F_8F19_5609DD307FEE_.wvu.FilterData" localSheetId="2" hidden="1">BTG!$A$2:$AQ$862</definedName>
    <definedName name="Z_856B58A2_833F_4A76_A5F2_931ECE0EED94_.wvu.FilterData" localSheetId="2" hidden="1">BTG!$A$1:$AN$866</definedName>
    <definedName name="Z_88BAC00F_7849_4FB4_B48F_E48D798BB097_.wvu.FilterData" localSheetId="2" hidden="1">BTG!$A$1:$AO$862</definedName>
    <definedName name="Z_89DCB3A4_F7C2_4C7C_AF22_113C3208476C_.wvu.FilterData" localSheetId="4" hidden="1">Ágora!$B$2:$AH$15</definedName>
    <definedName name="Z_89DCB3A4_F7C2_4C7C_AF22_113C3208476C_.wvu.FilterData" localSheetId="2" hidden="1">BTG!$B$2:$AM$866</definedName>
    <definedName name="Z_89DCB3A4_F7C2_4C7C_AF22_113C3208476C_.wvu.FilterData" localSheetId="1" hidden="1">'Clientes Novos'!$A$1:$P$1</definedName>
    <definedName name="Z_89DCB3A4_F7C2_4C7C_AF22_113C3208476C_.wvu.FilterData" localSheetId="5" hidden="1">Genial!$A$1:$BZ$40</definedName>
    <definedName name="Z_89DCB3A4_F7C2_4C7C_AF22_113C3208476C_.wvu.FilterData" localSheetId="3" hidden="1">Guide!$L$2:$L$403</definedName>
    <definedName name="Z_89DCB3A4_F7C2_4C7C_AF22_113C3208476C_.wvu.FilterData" localSheetId="8" hidden="1">'Interactive Brokers'!$B$2:$W$5</definedName>
    <definedName name="Z_89DCB3A4_F7C2_4C7C_AF22_113C3208476C_.wvu.FilterData" localSheetId="7" hidden="1">Pershing!$C$2:$AG$24</definedName>
    <definedName name="Z_89DCB3A4_F7C2_4C7C_AF22_113C3208476C_.wvu.FilterData" localSheetId="17" hidden="1">Saídas!$A$2:$K$798</definedName>
    <definedName name="Z_89DCB3A4_F7C2_4C7C_AF22_113C3208476C_.wvu.FilterData" localSheetId="10" hidden="1">XP!$C$1:$BN$543</definedName>
    <definedName name="Z_8A5FF1E9_1593_49BE_93D1_D29A7CB01ECC_.wvu.FilterData" localSheetId="2" hidden="1">BTG!$A$1:$AR$862</definedName>
    <definedName name="Z_8C0B501E_5A4F_4189_B349_41D142F46CB1_.wvu.FilterData" localSheetId="4" hidden="1">Ágora!$E$2:$F$26</definedName>
    <definedName name="Z_8C0B501E_5A4F_4189_B349_41D142F46CB1_.wvu.FilterData" localSheetId="2" hidden="1">BTG!$E$2:$F$871</definedName>
    <definedName name="Z_8E5CF15B_9253_4399_9FF3_86346F28D51C_.wvu.FilterData" localSheetId="2" hidden="1">BTG!$A$2:$AT$862</definedName>
    <definedName name="Z_8F59E872_2FCD_409A_8074_53EFF0E019F8_.wvu.FilterData" localSheetId="4" hidden="1">Ágora!$AG$2:$AG$26</definedName>
    <definedName name="Z_8F59E872_2FCD_409A_8074_53EFF0E019F8_.wvu.FilterData" localSheetId="2" hidden="1">BTG!$AL$2:$AL$871</definedName>
    <definedName name="Z_8FCBA22E_5B60_40BA_A507_F125CDE0A364_.wvu.FilterData" localSheetId="2" hidden="1">BTG!$A$1:$AT$862</definedName>
    <definedName name="Z_902CE914_A5B4_4C3D_94E2_6CE676CE7F3D_.wvu.FilterData" localSheetId="4" hidden="1">Ágora!$B$2:$AF$16</definedName>
    <definedName name="Z_902CE914_A5B4_4C3D_94E2_6CE676CE7F3D_.wvu.FilterData" localSheetId="2" hidden="1">BTG!$B$2:$AK$866</definedName>
    <definedName name="Z_902CE914_A5B4_4C3D_94E2_6CE676CE7F3D_.wvu.FilterData" localSheetId="3" hidden="1">Guide!$A$1:$CC$395</definedName>
    <definedName name="Z_90ECAC24_B734_46B0_9524_9B8EFE40C01E_.wvu.FilterData" localSheetId="2" hidden="1">BTG!$A$1:$AT$862</definedName>
    <definedName name="Z_91B4EAA0_B545_45DD_97C2_85BEC594BD66_.wvu.FilterData" localSheetId="4" hidden="1">Ágora!$D$2:$F$26</definedName>
    <definedName name="Z_91B4EAA0_B545_45DD_97C2_85BEC594BD66_.wvu.FilterData" localSheetId="2" hidden="1">BTG!$D$2:$F$871</definedName>
    <definedName name="Z_9234160C_1662_455A_AF1D_912AE025C3B4_.wvu.FilterData" localSheetId="4" hidden="1">Ágora!$B$2:$AG$15</definedName>
    <definedName name="Z_9234160C_1662_455A_AF1D_912AE025C3B4_.wvu.FilterData" localSheetId="2" hidden="1">BTG!$B$2:$AL$866</definedName>
    <definedName name="Z_9295FED8_7521_4E1C_B75F_8D7F60BEE580_.wvu.FilterData" localSheetId="2" hidden="1">BTG!$A$1:$AN$866</definedName>
    <definedName name="Z_945C5F7D_BAA2_4A70_92B3_2AE23BE4CEB4_.wvu.FilterData" localSheetId="4" hidden="1">Ágora!$D$2:$F$26</definedName>
    <definedName name="Z_945C5F7D_BAA2_4A70_92B3_2AE23BE4CEB4_.wvu.FilterData" localSheetId="2" hidden="1">BTG!$D$2:$F$871</definedName>
    <definedName name="Z_94B629D8_E802_4A92_840A_56EA1B840EA5_.wvu.FilterData" localSheetId="2" hidden="1">BTG!$A$1:$AR$862</definedName>
    <definedName name="Z_94B98A82_C710_4A2B_BD7C_8FF3DF446EFB_.wvu.FilterData" localSheetId="2" hidden="1">BTG!$A$1:$AS$862</definedName>
    <definedName name="Z_95B2B449_1894_49FC_897D_708E9DB34845_.wvu.FilterData" localSheetId="4" hidden="1">Ágora!$B$2:$AG$15</definedName>
    <definedName name="Z_95B2B449_1894_49FC_897D_708E9DB34845_.wvu.FilterData" localSheetId="2" hidden="1">BTG!$B$2:$AL$866</definedName>
    <definedName name="Z_981CBC53_5D76_4762_8CD0_466B1C412EC1_.wvu.FilterData" localSheetId="2" hidden="1">BTG!$A$1:$AR$862</definedName>
    <definedName name="Z_9C786FFE_D0FA_45F6_BF68_A2EFA3B5E95F_.wvu.FilterData" localSheetId="2" hidden="1">BTG!$A$1:$AQ$862</definedName>
    <definedName name="Z_9D03C712_1F11_42B1_86C9_82B94ACA5738_.wvu.FilterData" localSheetId="4" hidden="1">Ágora!$B$2:$Q$15</definedName>
    <definedName name="Z_9D03C712_1F11_42B1_86C9_82B94ACA5738_.wvu.FilterData" localSheetId="2" hidden="1">BTG!$B$2:$Q$866</definedName>
    <definedName name="Z_A012BCB8_B6FC_493B_BE0F_BC768552ED35_.wvu.FilterData" localSheetId="2" hidden="1">BTG!$A$1:$AQ$862</definedName>
    <definedName name="Z_A1183B50_C841_4C15_A5C7_0CA251FAC99F_.wvu.FilterData" localSheetId="2" hidden="1">BTG!$A$2:$AS$862</definedName>
    <definedName name="Z_A17B8D19_79C9_43DE_A9C5_A2C0E61B5967_.wvu.FilterData" localSheetId="2" hidden="1">BTG!$A$1:$AT$866</definedName>
    <definedName name="Z_A19E6034_CFD2_4537_B57B_344641ACAE57_.wvu.FilterData" localSheetId="2" hidden="1">BTG!$A$2:$AT$862</definedName>
    <definedName name="Z_A24E90CF_9FC7_4794_A72F_BDD032AE1262_.wvu.FilterData" localSheetId="4" hidden="1">Ágora!$F$2:$M$26</definedName>
    <definedName name="Z_A24E90CF_9FC7_4794_A72F_BDD032AE1262_.wvu.FilterData" localSheetId="2" hidden="1">BTG!$F$2:$M$871</definedName>
    <definedName name="Z_A352A1A2_1501_46DF_9C13_63D624E4BB15_.wvu.FilterData" localSheetId="4" hidden="1">Ágora!$M$2:$O$26</definedName>
    <definedName name="Z_A352A1A2_1501_46DF_9C13_63D624E4BB15_.wvu.FilterData" localSheetId="2" hidden="1">BTG!$M$2:$O$871</definedName>
    <definedName name="Z_A38DF29A_C66B_4A6D_943E_627D67090951_.wvu.FilterData" localSheetId="2" hidden="1">BTG!$A$1:$AN$866</definedName>
    <definedName name="Z_A38DF29A_C66B_4A6D_943E_627D67090951_.wvu.FilterData" localSheetId="3" hidden="1">Guide!$B$2:$BP$395</definedName>
    <definedName name="Z_A5AB1869_2729_4B4B_8ABC_048C8B9EC3DD_.wvu.FilterData" localSheetId="2" hidden="1">BTG!$A$1:$AO$871</definedName>
    <definedName name="Z_A6F36D14_8173_4CC1_9BBA_DDBD7743FAAA_.wvu.FilterData" localSheetId="2" hidden="1">BTG!$A$1:$AO$870</definedName>
    <definedName name="Z_A849DA94_1418_424D_BCA5_7A2C4F887372_.wvu.FilterData" localSheetId="4" hidden="1">Ágora!$F$2:$F$26</definedName>
    <definedName name="Z_A849DA94_1418_424D_BCA5_7A2C4F887372_.wvu.FilterData" localSheetId="2" hidden="1">BTG!$F$2:$F$871</definedName>
    <definedName name="Z_A849DA94_1418_424D_BCA5_7A2C4F887372_.wvu.FilterData" localSheetId="3" hidden="1">Guide!$A$1:$CA$395</definedName>
    <definedName name="Z_AA30659A_0161_4689_8448_C30A53896838_.wvu.FilterData" localSheetId="2" hidden="1">BTG!$A$2:$AS$862</definedName>
    <definedName name="Z_AB1EE67C_4579_4381_A53D_E35EA099863C_.wvu.FilterData" localSheetId="2" hidden="1">BTG!$A$2:$AT$862</definedName>
    <definedName name="Z_ACAE7E77_4A39_4917_9C14_62F9E9C75562_.wvu.FilterData" localSheetId="2" hidden="1">BTG!$A$1:$AO$871</definedName>
    <definedName name="Z_AF6A4A4C_C03D_44C0_A538_ECF9B327DA32_.wvu.FilterData" localSheetId="4" hidden="1">Ágora!$AE$2:$AE$26</definedName>
    <definedName name="Z_AF6A4A4C_C03D_44C0_A538_ECF9B327DA32_.wvu.FilterData" localSheetId="2" hidden="1">BTG!$AJ$2:$AJ$871</definedName>
    <definedName name="Z_AF6A4A4C_C03D_44C0_A538_ECF9B327DA32_.wvu.FilterData" localSheetId="3" hidden="1">Guide!$A$2:$CB$395</definedName>
    <definedName name="Z_B1C0A67C_9350_4957_BB31_605313D3D89A_.wvu.FilterData" localSheetId="2" hidden="1">BTG!$A$1:$AR$862</definedName>
    <definedName name="Z_B1D2E199_984B_4655_91CD_D4D8FD36D2F3_.wvu.FilterData" localSheetId="2" hidden="1">BTG!$A$1:$AR$862</definedName>
    <definedName name="Z_B32F995C_45FB_4FD6_B801_5C152D4F8297_.wvu.FilterData" localSheetId="2" hidden="1">BTG!$A$1:$AR$862</definedName>
    <definedName name="Z_B3619D87_CD19_4FFF_AE24_E2AECAB3E2EE_.wvu.FilterData" localSheetId="4" hidden="1">Ágora!$M$2:$M$26</definedName>
    <definedName name="Z_B3619D87_CD19_4FFF_AE24_E2AECAB3E2EE_.wvu.FilterData" localSheetId="2" hidden="1">BTG!$M$2:$M$871</definedName>
    <definedName name="Z_B7350A90_EAA6_4099_83B7_B219FD252084_.wvu.FilterData" localSheetId="2" hidden="1">BTG!$A$1:$AR$862</definedName>
    <definedName name="Z_BA6A789B_D303_47FF_B474_FEDF0B212CDF_.wvu.FilterData" localSheetId="2" hidden="1">BTG!$AE$2:$AE$871</definedName>
    <definedName name="Z_BA6A789B_D303_47FF_B474_FEDF0B212CDF_.wvu.FilterData" localSheetId="3" hidden="1">Guide!$K$2:$K$403</definedName>
    <definedName name="Z_BA778EE0_DFB6_427B_B287_224EBC064AD9_.wvu.FilterData" localSheetId="2" hidden="1">BTG!$A$1:$AN$866</definedName>
    <definedName name="Z_BDB47203_B7B5_4211_BC56_2B4E572FBD39_.wvu.FilterData" localSheetId="2" hidden="1">BTG!$A$2:$AT$862</definedName>
    <definedName name="Z_BDBC6C63_9C81_4FA7_BDD1_7783C0C5BE8F_.wvu.FilterData" localSheetId="4" hidden="1">Ágora!$F$2:$F$26</definedName>
    <definedName name="Z_BDBC6C63_9C81_4FA7_BDD1_7783C0C5BE8F_.wvu.FilterData" localSheetId="2" hidden="1">BTG!$F$2:$F$871</definedName>
    <definedName name="Z_BE3CE2F4_E814_485D_9F0B_147C27624BAE_.wvu.FilterData" localSheetId="2" hidden="1">BTG!$H$1:$I$864</definedName>
    <definedName name="Z_BE3FF041_F392_4149_A91D_8A0AB6F020F4_.wvu.FilterData" localSheetId="4" hidden="1">Ágora!$K$2:$K$26</definedName>
    <definedName name="Z_BE3FF041_F392_4149_A91D_8A0AB6F020F4_.wvu.FilterData" localSheetId="2" hidden="1">BTG!$K$2:$K$871</definedName>
    <definedName name="Z_BE7D6452_A024_48FB_87A2_4D52B7993650_.wvu.FilterData" localSheetId="2" hidden="1">BTG!$A$1:$AT$866</definedName>
    <definedName name="Z_BF288C53_1972_433C_9389_E9BF4DCD7A4B_.wvu.FilterData" localSheetId="4" hidden="1">Ágora!$F$2:$AF$26</definedName>
    <definedName name="Z_BF288C53_1972_433C_9389_E9BF4DCD7A4B_.wvu.FilterData" localSheetId="2" hidden="1">BTG!$F$2:$AK$871</definedName>
    <definedName name="Z_BF288C53_1972_433C_9389_E9BF4DCD7A4B_.wvu.FilterData" localSheetId="3" hidden="1">Guide!$A$2:$CB$395</definedName>
    <definedName name="Z_C11E39E1_9AD3_453D_964D_3E9891605FEB_.wvu.FilterData" localSheetId="4" hidden="1">Ágora!$F$2:$F$26</definedName>
    <definedName name="Z_C11E39E1_9AD3_453D_964D_3E9891605FEB_.wvu.FilterData" localSheetId="2" hidden="1">BTG!$F$2:$F$871</definedName>
    <definedName name="Z_C2230D01_9778_44E5_9FC7_1CEE13C39EFA_.wvu.FilterData" localSheetId="2" hidden="1">BTG!$A$1:$AS$862</definedName>
    <definedName name="Z_C3D4E6C7_C366_43CA_8432_A73827C7F027_.wvu.FilterData" localSheetId="2" hidden="1">BTG!$A$1:$AR$862</definedName>
    <definedName name="Z_C57996C7_DC52_4A75_BB28_4A4F1C040F40_.wvu.FilterData" localSheetId="2" hidden="1">BTG!$A$1:$BA$866</definedName>
    <definedName name="Z_C68EE085_9031_498B_94A3_71BF154A2C4F_.wvu.FilterData" localSheetId="2" hidden="1">BTG!$A$1:$AN$866</definedName>
    <definedName name="Z_C95CD0BE_DDE7_4A9D_B4C1_035FC2D9EFDC_.wvu.FilterData" localSheetId="4" hidden="1">Ágora!$B$2:$AG$15</definedName>
    <definedName name="Z_C95CD0BE_DDE7_4A9D_B4C1_035FC2D9EFDC_.wvu.FilterData" localSheetId="2" hidden="1">BTG!$B$2:$AL$866</definedName>
    <definedName name="Z_CA90D879_E3E3_4788_A894_DD0FEC0844FC_.wvu.FilterData" localSheetId="2" hidden="1">BTG!$A$2:$AS$862</definedName>
    <definedName name="Z_CAFF1660_1290_4B84_BF91_178ED0AB7D93_.wvu.FilterData" localSheetId="2" hidden="1">BTG!$A$1:$AR$862</definedName>
    <definedName name="Z_CDCB5B80_B81E_4C5B_A282_C633E9DFD846_.wvu.FilterData" localSheetId="2" hidden="1">BTG!$A$1:$AS$862</definedName>
    <definedName name="Z_CF42C4F6_1D6C_4B32_9F79_3A69D826F589_.wvu.FilterData" localSheetId="4" hidden="1">Ágora!$B$2:$AG$15</definedName>
    <definedName name="Z_CF42C4F6_1D6C_4B32_9F79_3A69D826F589_.wvu.FilterData" localSheetId="2" hidden="1">BTG!$B$2:$AL$866</definedName>
    <definedName name="Z_CF857282_F998_4F36_8A9A_81337800B6B1_.wvu.FilterData" localSheetId="2" hidden="1">BTG!$A$1:$AR$862</definedName>
    <definedName name="Z_DE4BD88E_A8FA_43E0_BF3F_133D01E45D1B_.wvu.FilterData" localSheetId="2" hidden="1">BTG!$A$1:$AR$862</definedName>
    <definedName name="Z_E148080E_FCB4_4445_A60A_2BAB191469D7_.wvu.FilterData" localSheetId="2" hidden="1">BTG!$A$2:$AS$862</definedName>
    <definedName name="Z_E2213F2C_3F45_4A28_B805_D78DD2AAC109_.wvu.FilterData" localSheetId="2" hidden="1">BTG!$A$1:$AO$871</definedName>
    <definedName name="Z_E6172B59_BEF4_4677_8478_A0A52BEBCB31_.wvu.FilterData" localSheetId="2" hidden="1">BTG!$A$1:$AT$862</definedName>
    <definedName name="Z_E650C049_012D_42F5_91B9_B33E1BEE8CDA_.wvu.FilterData" localSheetId="4" hidden="1">Ágora!$F$2:$F$26</definedName>
    <definedName name="Z_E650C049_012D_42F5_91B9_B33E1BEE8CDA_.wvu.FilterData" localSheetId="2" hidden="1">BTG!$F$2:$F$871</definedName>
    <definedName name="Z_E8EB3DB7_DE21_46BA_B4E9_AF5AAEE9D82A_.wvu.FilterData" localSheetId="2" hidden="1">BTG!$AT$8:$AT$859</definedName>
    <definedName name="Z_E9976D35_8E2B_4042_A7B2_D543B9A44019_.wvu.FilterData" localSheetId="4" hidden="1">Ágora!$K$2:$L$26</definedName>
    <definedName name="Z_E9976D35_8E2B_4042_A7B2_D543B9A44019_.wvu.FilterData" localSheetId="2" hidden="1">BTG!$K$2:$L$871</definedName>
    <definedName name="Z_E9976D35_8E2B_4042_A7B2_D543B9A44019_.wvu.FilterData" localSheetId="1" hidden="1">'Clientes Novos'!$A$1:$I$1</definedName>
    <definedName name="Z_E9976D35_8E2B_4042_A7B2_D543B9A44019_.wvu.FilterData" localSheetId="5" hidden="1">Genial!$A$2:$CC$31</definedName>
    <definedName name="Z_E9976D35_8E2B_4042_A7B2_D543B9A44019_.wvu.FilterData" localSheetId="3" hidden="1">Guide!$K$2:$P$241</definedName>
    <definedName name="Z_E9976D35_8E2B_4042_A7B2_D543B9A44019_.wvu.FilterData" localSheetId="10" hidden="1">XP!$C$1:$BS$543</definedName>
    <definedName name="Z_EA449EF3_7A32_4F7F_A182_E5520C8A1BAC_.wvu.FilterData" localSheetId="2" hidden="1">BTG!$A$1:$AR$862</definedName>
    <definedName name="Z_EA5E2C98_FD99_4015_9596_C97482B84F02_.wvu.FilterData" localSheetId="2" hidden="1">BTG!$A$1:$AN$866</definedName>
    <definedName name="Z_EA5E2C98_FD99_4015_9596_C97482B84F02_.wvu.FilterData" localSheetId="3" hidden="1">Guide!$B$2:$BQ$395</definedName>
    <definedName name="Z_EB5B204D_A458_41D6_B377_3695C7CC533B_.wvu.FilterData" localSheetId="2" hidden="1">BTG!$A$2:$AP$862</definedName>
    <definedName name="Z_EB70DFF4_058E_4307_9A11_765FFB65B141_.wvu.FilterData" localSheetId="2" hidden="1">BTG!$A$1:$AN$866</definedName>
    <definedName name="Z_EB70DFF4_058E_4307_9A11_765FFB65B141_.wvu.FilterData" localSheetId="3" hidden="1">Guide!$K$2:$K$403</definedName>
    <definedName name="Z_EC1DCC0D_E129_4C74_BE3D_43D480D0867F_.wvu.FilterData" localSheetId="4" hidden="1">Ágora!$B$2:$AG$26</definedName>
    <definedName name="Z_EC1DCC0D_E129_4C74_BE3D_43D480D0867F_.wvu.FilterData" localSheetId="2" hidden="1">BTG!$B$2:$AL$871</definedName>
    <definedName name="Z_ED76D480_E618_496C_AF48_707CE66C1CCA_.wvu.FilterData" localSheetId="2" hidden="1">BTG!$A$1:$AR$862</definedName>
    <definedName name="Z_EE7469D8_FEC6_4B23_AA72_228C5388AD9B_.wvu.FilterData" localSheetId="2" hidden="1">BTG!$A$1:$AR$862</definedName>
    <definedName name="Z_EF583170_62FD_46FE_8914_087D7B91A230_.wvu.FilterData" localSheetId="2" hidden="1">BTG!$A$2:$AS$862</definedName>
    <definedName name="Z_F0640A95_AB84_4099_AB16_22CC80627B3D_.wvu.FilterData" localSheetId="2" hidden="1">BTG!$A$1:$AS$862</definedName>
    <definedName name="Z_F25A0CC7_8178_4D64_A53C_73E539C992EC_.wvu.FilterData" localSheetId="2" hidden="1">BTG!$A$1:$AS$862</definedName>
    <definedName name="Z_F2A71975_677C_4C6F_B68B_99950C065530_.wvu.FilterData" localSheetId="2" hidden="1">BTG!$A$1:$F$862</definedName>
    <definedName name="Z_F2FCB189_6941_49BB_B264_FDB0E51FFE97_.wvu.FilterData" localSheetId="2" hidden="1">BTG!$A$2:$AR$862</definedName>
    <definedName name="Z_F4019676_D78B_4E59_834F_320C141A2AB9_.wvu.FilterData" localSheetId="2" hidden="1">BTG!$A$1:$AT$862</definedName>
    <definedName name="Z_F5C6209F_0C05_451B_8D21_7C16EB91CF2E_.wvu.FilterData" localSheetId="4" hidden="1">Ágora!$B$2:$AD$16</definedName>
    <definedName name="Z_F5C6209F_0C05_451B_8D21_7C16EB91CF2E_.wvu.FilterData" localSheetId="2" hidden="1">BTG!$B$2:$AI$866</definedName>
    <definedName name="Z_F5C6209F_0C05_451B_8D21_7C16EB91CF2E_.wvu.FilterData" localSheetId="3" hidden="1">Guide!$B$2:$BQ$395</definedName>
    <definedName name="Z_F7098C45_7E03_44FC_B007_F05B9C370963_.wvu.FilterData" localSheetId="2" hidden="1">BTG!$A$1:$AO$871</definedName>
    <definedName name="Z_FB4420EB_207E_4633_B206_EAF63B6BD124_.wvu.FilterData" localSheetId="4" hidden="1">Ágora!$B$2:$AF$16</definedName>
    <definedName name="Z_FB4420EB_207E_4633_B206_EAF63B6BD124_.wvu.FilterData" localSheetId="2" hidden="1">BTG!$B$2:$AK$866</definedName>
    <definedName name="Z_FB4420EB_207E_4633_B206_EAF63B6BD124_.wvu.FilterData" localSheetId="3" hidden="1">Guide!$K$2:$K$403</definedName>
    <definedName name="Z_FB4C8198_26BA_4D5E_9123_F6888D47CE86_.wvu.FilterData" localSheetId="4" hidden="1">Ágora!$B$2:$AG$15</definedName>
    <definedName name="Z_FB4C8198_26BA_4D5E_9123_F6888D47CE86_.wvu.FilterData" localSheetId="2" hidden="1">BTG!$B$2:$AL$866</definedName>
    <definedName name="Z_FD98970F_27D3_4F42_B1DD_E0228B704C10_.wvu.FilterData" localSheetId="4" hidden="1">Ágora!$K$2:$K$26</definedName>
    <definedName name="Z_FD98970F_27D3_4F42_B1DD_E0228B704C10_.wvu.FilterData" localSheetId="2" hidden="1">BTG!$K$2:$K$871</definedName>
    <definedName name="Z_FD98970F_27D3_4F42_B1DD_E0228B704C10_.wvu.FilterData" localSheetId="3" hidden="1">Guide!$B$2:$BU$395</definedName>
    <definedName name="Z_FF4F0675_15CA_41BA_9DED_F72DFE02012F_.wvu.FilterData" localSheetId="2" hidden="1">BTG!$A$2:$AR$862</definedName>
  </definedNames>
  <calcPr calcId="191029"/>
  <customWorkbookViews>
    <customWorkbookView name="Filtro 171" guid="{90ECAC24-B734-46B0-9524-9B8EFE40C01E}" maximized="1" windowWidth="0" windowHeight="0" activeSheetId="0"/>
    <customWorkbookView name="Filtro 170" guid="{8FCBA22E-5B60-40BA-A507-F125CDE0A364}" maximized="1" windowWidth="0" windowHeight="0" activeSheetId="0"/>
    <customWorkbookView name="Filtro 175" guid="{A17B8D19-79C9-43DE-A9C5-A2C0E61B5967}" maximized="1" windowWidth="0" windowHeight="0" activeSheetId="0"/>
    <customWorkbookView name="Filtro 174" guid="{BE7D6452-A024-48FB-87A2-4D52B7993650}" maximized="1" windowWidth="0" windowHeight="0" activeSheetId="0"/>
    <customWorkbookView name="Filtro 173" guid="{F4019676-D78B-4E59-834F-320C141A2AB9}" maximized="1" windowWidth="0" windowHeight="0" activeSheetId="0"/>
    <customWorkbookView name="Filtro 172" guid="{7B13DC17-4543-4231-9102-95C3CA931642}" maximized="1" windowWidth="0" windowHeight="0" activeSheetId="0"/>
    <customWorkbookView name="Filtro 178" guid="{3901FD6E-3E4F-42B5-8DD9-4832B527D658}" maximized="1" windowWidth="0" windowHeight="0" activeSheetId="0"/>
    <customWorkbookView name="Filtro 177" guid="{BE3CE2F4-E814-485D-9F0B-147C27624BAE}" maximized="1" windowWidth="0" windowHeight="0" activeSheetId="0"/>
    <customWorkbookView name="Filtro 176" guid="{C57996C7-DC52-4A75-BB28-4A4F1C040F40}" maximized="1" windowWidth="0" windowHeight="0" activeSheetId="0"/>
    <customWorkbookView name="Filtro 41" guid="{B3619D87-CD19-4FFF-AE24-E2AECAB3E2EE}" maximized="1" windowWidth="0" windowHeight="0" activeSheetId="0"/>
    <customWorkbookView name="Filtro 40" guid="{31B4B408-8519-4267-A60B-88A51E9F259A}" maximized="1" windowWidth="0" windowHeight="0" activeSheetId="0"/>
    <customWorkbookView name="Filtro 43" guid="{5AE29003-739D-420D-B90A-30B0A15E139C}" maximized="1" windowWidth="0" windowHeight="0" activeSheetId="0"/>
    <customWorkbookView name="Filtro 42" guid="{377BE576-1A61-4B92-81BE-0D74B3709F1F}" maximized="1" windowWidth="0" windowHeight="0" activeSheetId="0"/>
    <customWorkbookView name="Filtro 45" guid="{8C0B501E-5A4F-4189-B349-41D142F46CB1}" maximized="1" windowWidth="0" windowHeight="0" activeSheetId="0"/>
    <customWorkbookView name="Filtro 44" guid="{E650C049-012D-42F5-91B9-B33E1BEE8CDA}" maximized="1" windowWidth="0" windowHeight="0" activeSheetId="0"/>
    <customWorkbookView name="Filtro 47" guid="{8F59E872-2FCD-409A-8074-53EFF0E019F8}" maximized="1" windowWidth="0" windowHeight="0" activeSheetId="0"/>
    <customWorkbookView name="Filtro 46" guid="{945C5F7D-BAA2-4A70-92B3-2AE23BE4CEB4}" maximized="1" windowWidth="0" windowHeight="0" activeSheetId="0"/>
    <customWorkbookView name="Filtro 49" guid="{A24E90CF-9FC7-4794-A72F-BDD032AE1262}" maximized="1" windowWidth="0" windowHeight="0" activeSheetId="0"/>
    <customWorkbookView name="Filtro 48" guid="{14528097-6D5E-45E5-A988-73D13BE966AE}" maximized="1" windowWidth="0" windowHeight="0" activeSheetId="0"/>
    <customWorkbookView name="Filtro 3" guid="{83C7FF90-A5AD-4758-A2B4-300004226B48}" maximized="1" windowWidth="0" windowHeight="0" activeSheetId="0"/>
    <customWorkbookView name="Filtro 2" guid="{E9976D35-8E2B-4042-A7B2-D543B9A44019}" maximized="1" windowWidth="0" windowHeight="0" activeSheetId="0"/>
    <customWorkbookView name="Filtro 1" guid="{89DCB3A4-F7C2-4C7C-AF22-113C3208476C}" maximized="1" windowWidth="0" windowHeight="0" activeSheetId="0"/>
    <customWorkbookView name="Filtro 7" guid="{44C28A3A-F9E3-4AFE-B9E9-255038725DDE}" maximized="1" windowWidth="0" windowHeight="0" activeSheetId="0"/>
    <customWorkbookView name="Filtro 6" guid="{A38DF29A-C66B-4A6D-943E-627D67090951}" maximized="1" windowWidth="0" windowHeight="0" activeSheetId="0"/>
    <customWorkbookView name="Filtro 5" guid="{23FB3692-44FA-48F6-A6A3-5EA30732F04D}" maximized="1" windowWidth="0" windowHeight="0" activeSheetId="0"/>
    <customWorkbookView name="Filtro 4" guid="{73804860-C66F-4AD9-A5ED-DE9B46A8E773}" maximized="1" windowWidth="0" windowHeight="0" activeSheetId="0"/>
    <customWorkbookView name="Filtro 102" guid="{6107B431-5DDD-4001-A262-3DA1E5D1397B}" maximized="1" windowWidth="0" windowHeight="0" activeSheetId="0"/>
    <customWorkbookView name="Filtro 101" guid="{47A47A2F-F615-4BFB-8F2D-C0D17609542E}" maximized="1" windowWidth="0" windowHeight="0" activeSheetId="0"/>
    <customWorkbookView name="Filtro 100" guid="{EB5B204D-A458-41D6-B377-3695C7CC533B}" maximized="1" windowWidth="0" windowHeight="0" activeSheetId="0"/>
    <customWorkbookView name="Filtro 106" guid="{6BBFEC2A-85D4-4D28-BE2A-F50DC8A5C326}" maximized="1" windowWidth="0" windowHeight="0" activeSheetId="0"/>
    <customWorkbookView name="Filtro 105" guid="{6E3948AB-65AC-43C1-8DD3-5D5B3DE10666}" maximized="1" windowWidth="0" windowHeight="0" activeSheetId="0"/>
    <customWorkbookView name="Filtro 104" guid="{9C786FFE-D0FA-45F6-BF68-A2EFA3B5E95F}" maximized="1" windowWidth="0" windowHeight="0" activeSheetId="0"/>
    <customWorkbookView name="Filtro 103" guid="{A012BCB8-B6FC-493B-BE0F-BC768552ED35}" maximized="1" windowWidth="0" windowHeight="0" activeSheetId="0"/>
    <customWorkbookView name="Filtro 30" guid="{A849DA94-1418-424D-BCA5-7A2C4F887372}" maximized="1" windowWidth="0" windowHeight="0" activeSheetId="0"/>
    <customWorkbookView name="Filtro 32" guid="{AF6A4A4C-C03D-44C0-A538-ECF9B327DA32}" maximized="1" windowWidth="0" windowHeight="0" activeSheetId="0"/>
    <customWorkbookView name="Filtro 31" guid="{BF288C53-1972-433C-9389-E9BF4DCD7A4B}" maximized="1" windowWidth="0" windowHeight="0" activeSheetId="0"/>
    <customWorkbookView name="Filtro 34" guid="{902CE914-A5B4-4C3D-94E2-6CE676CE7F3D}" maximized="1" windowWidth="0" windowHeight="0" activeSheetId="0"/>
    <customWorkbookView name="Filtro 33" guid="{5BE1A573-7F5C-4165-AEAB-13C2F8CBD466}" maximized="1" windowWidth="0" windowHeight="0" activeSheetId="0"/>
    <customWorkbookView name="Filtro 36" guid="{91B4EAA0-B545-45DD-97C2-85BEC594BD66}" maximized="1" windowWidth="0" windowHeight="0" activeSheetId="0"/>
    <customWorkbookView name="Filtro 35" guid="{20CA8F9B-4278-405F-AFBC-C3C50178C888}" maximized="1" windowWidth="0" windowHeight="0" activeSheetId="0"/>
    <customWorkbookView name="Filtro 38" guid="{0D21AE6D-432F-4D86-9567-D984D5C38E3E}" maximized="1" windowWidth="0" windowHeight="0" activeSheetId="0"/>
    <customWorkbookView name="Filtro 37" guid="{2F7750B9-9992-4A72-83F7-EB5DC96A8C8F}" maximized="1" windowWidth="0" windowHeight="0" activeSheetId="0"/>
    <customWorkbookView name="Filtro 39" guid="{00D0E2B6-F407-4B1C-9AF6-FDC7920B0516}" maximized="1" windowWidth="0" windowHeight="0" activeSheetId="0"/>
    <customWorkbookView name="Filtro 19" guid="{35EF1651-84D8-4F09-8353-391BFF2EC862}" maximized="1" windowWidth="0" windowHeight="0" activeSheetId="0"/>
    <customWorkbookView name="Filtro 153" guid="{AA30659A-0161-4689-8448-C30A53896838}" maximized="1" windowWidth="0" windowHeight="0" activeSheetId="0"/>
    <customWorkbookView name="Filtro 152" guid="{F2A71975-677C-4C6F-B68B-99950C065530}" maximized="1" windowWidth="0" windowHeight="0" activeSheetId="0"/>
    <customWorkbookView name="Filtro 151" guid="{EF583170-62FD-46FE-8914-087D7B91A230}" maximized="1" windowWidth="0" windowHeight="0" activeSheetId="0"/>
    <customWorkbookView name="Filtro 150" guid="{C2230D01-9778-44E5-9FC7-1CEE13C39EFA}" maximized="1" windowWidth="0" windowHeight="0" activeSheetId="0"/>
    <customWorkbookView name="Filtro 157" guid="{E6172B59-BEF4-4677-8478-A0A52BEBCB31}" maximized="1" windowWidth="0" windowHeight="0" activeSheetId="0"/>
    <customWorkbookView name="Filtro 156" guid="{0CA26242-E290-4B7A-BB85-3A5C0657C0D6}" maximized="1" windowWidth="0" windowHeight="0" activeSheetId="0"/>
    <customWorkbookView name="Filtro 155" guid="{BDB47203-B7B5-4211-BC56-2B4E572FBD39}" maximized="1" windowWidth="0" windowHeight="0" activeSheetId="0"/>
    <customWorkbookView name="Filtro 154" guid="{03621389-A432-45F2-B909-A7245C4F16C9}" maximized="1" windowWidth="0" windowHeight="0" activeSheetId="0"/>
    <customWorkbookView name="Filtro 159" guid="{11678CA9-4AFA-466E-A9CB-A9B48CEF08D2}" maximized="1" windowWidth="0" windowHeight="0" activeSheetId="0"/>
    <customWorkbookView name="Filtro 158" guid="{679BD5E5-95BB-4039-B6AC-606ED333589C}" maximized="1" windowWidth="0" windowHeight="0" activeSheetId="0"/>
    <customWorkbookView name="Filtro 21" guid="{7695ECAD-052A-41E6-9B10-9855CE143A7A}" maximized="1" windowWidth="0" windowHeight="0" activeSheetId="0"/>
    <customWorkbookView name="Filtro 20" guid="{FD98970F-27D3-4F42-B1DD-E0228B704C10}" maximized="1" windowWidth="0" windowHeight="0" activeSheetId="0"/>
    <customWorkbookView name="Filtro 23" guid="{BA6A789B-D303-47FF-B474-FEDF0B212CDF}" maximized="1" windowWidth="0" windowHeight="0" activeSheetId="0"/>
    <customWorkbookView name="Filtro 22" guid="{47DE036D-B20F-44CC-9B9D-1FC12335F326}" maximized="1" windowWidth="0" windowHeight="0" activeSheetId="0"/>
    <customWorkbookView name="Filtro 25" guid="{294CB357-E3E9-4C1F-891C-43CF83DD63F6}" maximized="1" windowWidth="0" windowHeight="0" activeSheetId="0"/>
    <customWorkbookView name="Filtro 9" guid="{35AFBB65-2A8A-4F75-8E78-9B85B0D5EECC}" maximized="1" windowWidth="0" windowHeight="0" activeSheetId="0"/>
    <customWorkbookView name="Filtro 24" guid="{05EE2FE8-A348-49B7-BAD8-2996D4687A74}" maximized="1" windowWidth="0" windowHeight="0" activeSheetId="0"/>
    <customWorkbookView name="Filtro 8" guid="{EA5E2C98-FD99-4015-9596-C97482B84F02}" maximized="1" windowWidth="0" windowHeight="0" activeSheetId="0"/>
    <customWorkbookView name="Filtro 27" guid="{5D44B39B-277B-4C7A-BD8A-5463D70ACC0F}" maximized="1" windowWidth="0" windowHeight="0" activeSheetId="0"/>
    <customWorkbookView name="Filtro 26" guid="{283E914E-7EE7-4CCA-8962-BAB60323102B}" maximized="1" windowWidth="0" windowHeight="0" activeSheetId="0"/>
    <customWorkbookView name="Filtro 29" guid="{23B9B2B3-A936-4DBD-88B3-0A988C85FAAA}" maximized="1" windowWidth="0" windowHeight="0" activeSheetId="0"/>
    <customWorkbookView name="Filtro 28" guid="{040CB123-C93E-4921-B22E-729A6CA2515A}" maximized="1" windowWidth="0" windowHeight="0" activeSheetId="0"/>
    <customWorkbookView name="Filtro 160" guid="{E8EB3DB7-DE21-46BA-B4E9-AF5AAEE9D82A}" maximized="1" windowWidth="0" windowHeight="0" activeSheetId="0"/>
    <customWorkbookView name="Filtro 164" guid="{3823B51D-6CEC-4168-91C6-998F5EA5904A}" maximized="1" windowWidth="0" windowHeight="0" activeSheetId="0"/>
    <customWorkbookView name="Filtro 163" guid="{A19E6034-CFD2-4537-B57B-344641ACAE57}" maximized="1" windowWidth="0" windowHeight="0" activeSheetId="0"/>
    <customWorkbookView name="Filtro 162" guid="{607A6C2D-8F47-4801-91A8-3282BD234C64}" maximized="1" windowWidth="0" windowHeight="0" activeSheetId="0"/>
    <customWorkbookView name="Filtro 161" guid="{6DD1A8B5-3E4E-4EE9-AEEA-94DAACE948D7}" maximized="1" windowWidth="0" windowHeight="0" activeSheetId="0"/>
    <customWorkbookView name="Filtro 168" guid="{8E5CF15B-9253-4399-9FF3-86346F28D51C}" maximized="1" windowWidth="0" windowHeight="0" activeSheetId="0"/>
    <customWorkbookView name="Filtro 167" guid="{AB1EE67C-4579-4381-A53D-E35EA099863C}" maximized="1" windowWidth="0" windowHeight="0" activeSheetId="0"/>
    <customWorkbookView name="Filtro 166" guid="{1E802A29-AF72-4ED4-A5B6-E025507C90ED}" maximized="1" windowWidth="0" windowHeight="0" activeSheetId="0"/>
    <customWorkbookView name="Filtro 165" guid="{2407A6C7-31DF-44B0-A8FB-FF699038E3C6}" maximized="1" windowWidth="0" windowHeight="0" activeSheetId="0"/>
    <customWorkbookView name="Filtro 90" guid="{A6F36D14-8173-4CC1-9BBA-DDBD7743FAAA}" maximized="1" windowWidth="0" windowHeight="0" activeSheetId="0"/>
    <customWorkbookView name="Filtro 169" guid="{5EB0C5AD-DFBD-4FB9-94ED-9F9FB5DD6702}" maximized="1" windowWidth="0" windowHeight="0" activeSheetId="0"/>
    <customWorkbookView name="Filtro 92" guid="{E2213F2C-3F45-4A28-B805-D78DD2AAC109}" maximized="1" windowWidth="0" windowHeight="0" activeSheetId="0"/>
    <customWorkbookView name="Filtro 91" guid="{F7098C45-7E03-44FC-B007-F05B9C370963}" maximized="1" windowWidth="0" windowHeight="0" activeSheetId="0"/>
    <customWorkbookView name="Filtro 94" guid="{88BAC00F-7849-4FB4-B48F-E48D798BB097}" maximized="1" windowWidth="0" windowHeight="0" activeSheetId="0"/>
    <customWorkbookView name="Filtro 93" guid="{A5AB1869-2729-4B4B-8ABC-048C8B9EC3DD}" maximized="1" windowWidth="0" windowHeight="0" activeSheetId="0"/>
    <customWorkbookView name="Filtro 96" guid="{49A6CA0C-1E18-42CE-8B6B-ED7A802BABF7}" maximized="1" windowWidth="0" windowHeight="0" activeSheetId="0"/>
    <customWorkbookView name="Filtro 95" guid="{6EBCB877-02FC-4B13-9BB1-D9B981E49061}" maximized="1" windowWidth="0" windowHeight="0" activeSheetId="0"/>
    <customWorkbookView name="Filtro 10" guid="{4D6E5146-1B1B-45BD-81CC-02322B99761B}" maximized="1" windowWidth="0" windowHeight="0" activeSheetId="0"/>
    <customWorkbookView name="Filtro 98" guid="{6F46F194-7968-4331-8727-DBC55E768B17}" maximized="1" windowWidth="0" windowHeight="0" activeSheetId="0"/>
    <customWorkbookView name="Filtro 97" guid="{ACAE7E77-4A39-4917-9C14-62F9E9C75562}" maximized="1" windowWidth="0" windowHeight="0" activeSheetId="0"/>
    <customWorkbookView name="Filtro 12" guid="{28003C19-2592-44F6-BF45-63AC343ABDD2}" maximized="1" windowWidth="0" windowHeight="0" activeSheetId="0"/>
    <customWorkbookView name="Filtro 11" guid="{08C8AD6C-84D0-4BB5-A738-EFBCD0ECB57B}" maximized="1" windowWidth="0" windowHeight="0" activeSheetId="0"/>
    <customWorkbookView name="Filtro 99" guid="{599401B2-984C-44B9-A17F-64A00875707C}" maximized="1" windowWidth="0" windowHeight="0" activeSheetId="0"/>
    <customWorkbookView name="Filtro 14" guid="{F5C6209F-0C05-451B-8D21-7C16EB91CF2E}" maximized="1" windowWidth="0" windowHeight="0" activeSheetId="0"/>
    <customWorkbookView name="Filtro 13" guid="{7A3EEC3D-B852-4E63-9D17-79319870A059}" maximized="1" windowWidth="0" windowHeight="0" activeSheetId="0"/>
    <customWorkbookView name="Filtro 16" guid="{3971B9B5-E64A-4827-A358-4F02E4E81641}" maximized="1" windowWidth="0" windowHeight="0" activeSheetId="0"/>
    <customWorkbookView name="Filtro 15" guid="{4A38E3F3-D81A-41F1-90F5-02ABD8C231BC}" maximized="1" windowWidth="0" windowHeight="0" activeSheetId="0"/>
    <customWorkbookView name="Filtro 18" guid="{EB70DFF4-058E-4307-9A11-765FFB65B141}" maximized="1" windowWidth="0" windowHeight="0" activeSheetId="0"/>
    <customWorkbookView name="Filtro 17" guid="{FB4420EB-207E-4633-B206-EAF63B6BD124}" maximized="1" windowWidth="0" windowHeight="0" activeSheetId="0"/>
    <customWorkbookView name="Filtro 131" guid="{B1D2E199-984B-4655-91CD-D4D8FD36D2F3}" maximized="1" windowWidth="0" windowHeight="0" activeSheetId="0"/>
    <customWorkbookView name="Filtro 130" guid="{032236C1-7DF7-43B3-8445-FA4483737404}" maximized="1" windowWidth="0" windowHeight="0" activeSheetId="0"/>
    <customWorkbookView name="Filtro 135" guid="{981CBC53-5D76-4762-8CD0-466B1C412EC1}" maximized="1" windowWidth="0" windowHeight="0" activeSheetId="0"/>
    <customWorkbookView name="Filtro 134" guid="{4D3520F4-82B8-427F-AB69-ACA7DAE17185}" maximized="1" windowWidth="0" windowHeight="0" activeSheetId="0"/>
    <customWorkbookView name="Filtro 133" guid="{34E5B49D-F813-442A-A2D6-09825055367C}" maximized="1" windowWidth="0" windowHeight="0" activeSheetId="0"/>
    <customWorkbookView name="Filtro 132" guid="{2C628EB8-8BA1-4BFD-859B-320FB2EF19D4}" maximized="1" windowWidth="0" windowHeight="0" activeSheetId="0"/>
    <customWorkbookView name="Filtro 139" guid="{40E72F40-E61C-45D8-9C35-1EFD914C9F1D}" maximized="1" windowWidth="0" windowHeight="0" activeSheetId="0"/>
    <customWorkbookView name="Filtro 138" guid="{94B98A82-C710-4A2B-BD7C-8FF3DF446EFB}" maximized="1" windowWidth="0" windowHeight="0" activeSheetId="0"/>
    <customWorkbookView name="Filtro 137" guid="{2C9124D0-7FCF-497F-9368-4953D3BA07DF}" maximized="1" windowWidth="0" windowHeight="0" activeSheetId="0"/>
    <customWorkbookView name="Filtro 136" guid="{77B53FB4-042F-4065-A12E-1D5A3E1AD3D4}" maximized="1" windowWidth="0" windowHeight="0" activeSheetId="0"/>
    <customWorkbookView name="Filtro 81" guid="{087EDDD0-D955-4A10-AEB2-58B45FFB9F46}" maximized="1" windowWidth="0" windowHeight="0" activeSheetId="0"/>
    <customWorkbookView name="Filtro 80" guid="{66587AA9-651A-477C-920F-6526E8A97CBA}" maximized="1" windowWidth="0" windowHeight="0" activeSheetId="0"/>
    <customWorkbookView name="Filtro 83" guid="{204BBEC0-3DDC-415E-A212-9EEF6C586A3D}" maximized="1" windowWidth="0" windowHeight="0" activeSheetId="0"/>
    <customWorkbookView name="Filtro 82" guid="{701E13BA-FC77-4569-A58E-12AEA485D7B6}" maximized="1" windowWidth="0" windowHeight="0" activeSheetId="0"/>
    <customWorkbookView name="Filtro 129" guid="{94B629D8-E802-4A92-840A-56EA1B840EA5}" maximized="1" windowWidth="0" windowHeight="0" activeSheetId="0"/>
    <customWorkbookView name="Filtro 85" guid="{50FB7D11-3DC7-4E6D-9979-4CA4CFEC99D4}" maximized="1" windowWidth="0" windowHeight="0" activeSheetId="0"/>
    <customWorkbookView name="Filtro 84" guid="{73D159ED-31C6-4017-BE46-1B4BE7230613}" maximized="1" windowWidth="0" windowHeight="0" activeSheetId="0"/>
    <customWorkbookView name="Filtro 87" guid="{7A7BC0F0-4C7D-4610-9F98-047A8D0EAF59}" maximized="1" windowWidth="0" windowHeight="0" activeSheetId="0"/>
    <customWorkbookView name="Filtro 86" guid="{7EB61E02-ACD8-4BDA-9738-B2CE66CCD218}" maximized="1" windowWidth="0" windowHeight="0" activeSheetId="0"/>
    <customWorkbookView name="Filtro 89" guid="{815845EE-26CC-410C-A0D4-417634C0BE2D}" maximized="1" windowWidth="0" windowHeight="0" activeSheetId="0"/>
    <customWorkbookView name="Filtro 88" guid="{2CDCAD71-1E51-4539-9113-89C3873F6C7A}" maximized="1" windowWidth="0" windowHeight="0" activeSheetId="0"/>
    <customWorkbookView name="Filtro 142" guid="{043EDE87-F627-4272-AF7E-4799C4BFDB28}" maximized="1" windowWidth="0" windowHeight="0" activeSheetId="0"/>
    <customWorkbookView name="Filtro 141" guid="{1E87707B-6D76-46E7-BC5B-AB6DDDF993FE}" maximized="1" windowWidth="0" windowHeight="0" activeSheetId="0"/>
    <customWorkbookView name="Filtro 140" guid="{F25A0CC7-8178-4D64-A53C-73E539C992EC}" maximized="1" windowWidth="0" windowHeight="0" activeSheetId="0"/>
    <customWorkbookView name="Filtro 146" guid="{605655AF-967C-4FE8-98BD-BA56DA4EFD94}" maximized="1" windowWidth="0" windowHeight="0" activeSheetId="0"/>
    <customWorkbookView name="Filtro 145" guid="{F0640A95-AB84-4099-AB16-22CC80627B3D}" maximized="1" windowWidth="0" windowHeight="0" activeSheetId="0"/>
    <customWorkbookView name="Filtro 144" guid="{CDCB5B80-B81E-4C5B-A282-C633E9DFD846}" maximized="1" windowWidth="0" windowHeight="0" activeSheetId="0"/>
    <customWorkbookView name="Filtro 143" guid="{A1183B50-C841-4C15-A5C7-0CA251FAC99F}" maximized="1" windowWidth="0" windowHeight="0" activeSheetId="0"/>
    <customWorkbookView name="Filtro 149" guid="{E148080E-FCB4-4445-A60A-2BAB191469D7}" maximized="1" windowWidth="0" windowHeight="0" activeSheetId="0"/>
    <customWorkbookView name="Filtro 148" guid="{CA90D879-E3E3-4788-A894-DD0FEC0844FC}" maximized="1" windowWidth="0" windowHeight="0" activeSheetId="0"/>
    <customWorkbookView name="Filtro 147" guid="{59E61F62-C382-47A3-BF03-F175D78DF924}" maximized="1" windowWidth="0" windowHeight="0" activeSheetId="0"/>
    <customWorkbookView name="Filtro 70" guid="{5FC98926-A07B-4DFB-82A7-B8D230977B44}" maximized="1" windowWidth="0" windowHeight="0" activeSheetId="0"/>
    <customWorkbookView name="Filtro 72" guid="{C95CD0BE-DDE7-4A9D-B4C1-035FC2D9EFDC}" maximized="1" windowWidth="0" windowHeight="0" activeSheetId="0"/>
    <customWorkbookView name="Filtro 71" guid="{42803860-2CA3-409B-89FC-7CB037BF407B}" maximized="1" windowWidth="0" windowHeight="0" activeSheetId="0"/>
    <customWorkbookView name="Filtro 74" guid="{1973AF07-A6A6-4C06-81E1-DBC5B1B2B7FA}" maximized="1" windowWidth="0" windowHeight="0" activeSheetId="0"/>
    <customWorkbookView name="Filtro 73" guid="{FB4C8198-26BA-4D5E-9123-F6888D47CE86}" maximized="1" windowWidth="0" windowHeight="0" activeSheetId="0"/>
    <customWorkbookView name="Filtro 76" guid="{856B58A2-833F-4A76-A5F2-931ECE0EED94}" maximized="1" windowWidth="0" windowHeight="0" activeSheetId="0"/>
    <customWorkbookView name="Filtro 75" guid="{4AD52135-278F-4BAA-820A-B7D4DCEAE217}" maximized="1" windowWidth="0" windowHeight="0" activeSheetId="0"/>
    <customWorkbookView name="Filtro 78" guid="{48B6169D-1122-4967-AD24-766EB4659D8E}" maximized="1" windowWidth="0" windowHeight="0" activeSheetId="0"/>
    <customWorkbookView name="Filtro 77" guid="{7273C0E8-30B6-4D07-8902-8E93E444CC3F}" maximized="1" windowWidth="0" windowHeight="0" activeSheetId="0"/>
    <customWorkbookView name="Filtro 79" guid="{BA778EE0-DFB6-427B-B287-224EBC064AD9}" maximized="1" windowWidth="0" windowHeight="0" activeSheetId="0"/>
    <customWorkbookView name="Filtro 113" guid="{FF4F0675-15CA-41BA-9DED-F72DFE02012F}" maximized="1" windowWidth="0" windowHeight="0" activeSheetId="0"/>
    <customWorkbookView name="Filtro 112" guid="{3B113019-417A-4BFD-B6A1-E3CF113E7982}" maximized="1" windowWidth="0" windowHeight="0" activeSheetId="0"/>
    <customWorkbookView name="Filtro 111" guid="{CAFF1660-1290-4B84-BF91-178ED0AB7D93}" maximized="1" windowWidth="0" windowHeight="0" activeSheetId="0"/>
    <customWorkbookView name="Filtro 110" guid="{8566B7D8-30A7-451F-8F19-5609DD307FEE}" maximized="1" windowWidth="0" windowHeight="0" activeSheetId="0"/>
    <customWorkbookView name="Filtro 117" guid="{B7350A90-EAA6-4099-83B7-B219FD252084}" maximized="1" windowWidth="0" windowHeight="0" activeSheetId="0"/>
    <customWorkbookView name="Filtro 116" guid="{C3D4E6C7-C366-43CA-8432-A73827C7F027}" maximized="1" windowWidth="0" windowHeight="0" activeSheetId="0"/>
    <customWorkbookView name="Filtro 115" guid="{CF857282-F998-4F36-8A9A-81337800B6B1}" maximized="1" windowWidth="0" windowHeight="0" activeSheetId="0"/>
    <customWorkbookView name="Filtro 114" guid="{8A5FF1E9-1593-49BE-93D1-D29A7CB01ECC}" maximized="1" windowWidth="0" windowHeight="0" activeSheetId="0"/>
    <customWorkbookView name="Filtro 109" guid="{3B11E87A-6304-4141-B5A2-4F7F7226131F}" maximized="1" windowWidth="0" windowHeight="0" activeSheetId="0"/>
    <customWorkbookView name="Filtro 61" guid="{95B2B449-1894-49FC-897D-708E9DB34845}" maximized="1" windowWidth="0" windowHeight="0" activeSheetId="0"/>
    <customWorkbookView name="Filtro 108" guid="{0F121652-EB71-432D-9FEB-BD49F86EBDB7}" maximized="1" windowWidth="0" windowHeight="0" activeSheetId="0"/>
    <customWorkbookView name="Filtro 60" guid="{9234160C-1662-455A-AF1D-912AE025C3B4}" maximized="1" windowWidth="0" windowHeight="0" activeSheetId="0"/>
    <customWorkbookView name="Filtro 107" guid="{05E084CD-9740-4047-996C-D7D8EF14C074}" maximized="1" windowWidth="0" windowHeight="0" activeSheetId="0"/>
    <customWorkbookView name="Filtro 63" guid="{C68EE085-9031-498B-94A3-71BF154A2C4F}" maximized="1" windowWidth="0" windowHeight="0" activeSheetId="0"/>
    <customWorkbookView name="Filtro 62" guid="{9295FED8-7521-4E1C-B75F-8D7F60BEE580}" maximized="1" windowWidth="0" windowHeight="0" activeSheetId="0"/>
    <customWorkbookView name="Filtro 65" guid="{246A3A7B-7F9B-4FB7-925E-3EF6CCB76B1A}" maximized="1" windowWidth="0" windowHeight="0" activeSheetId="0"/>
    <customWorkbookView name="Filtro 64" guid="{9D03C712-1F11-42B1-86C9-82B94ACA5738}" maximized="1" windowWidth="0" windowHeight="0" activeSheetId="0"/>
    <customWorkbookView name="Filtro 67" guid="{CF42C4F6-1D6C-4B32-9F79-3A69D826F589}" maximized="1" windowWidth="0" windowHeight="0" activeSheetId="0"/>
    <customWorkbookView name="Filtro 66" guid="{0616E5D7-6B15-4886-AF37-50EDCE1D812A}" maximized="1" windowWidth="0" windowHeight="0" activeSheetId="0"/>
    <customWorkbookView name="Filtro 69" guid="{0F0D030E-B001-479F-B50D-63AC92171C87}" maximized="1" windowWidth="0" windowHeight="0" activeSheetId="0"/>
    <customWorkbookView name="Filtro 68" guid="{11490E76-A4C7-4701-9522-DF8F08B6EC2D}" maximized="1" windowWidth="0" windowHeight="0" activeSheetId="0"/>
    <customWorkbookView name="Filtro 120" guid="{825F61B6-50E0-40D2-98F1-D4778FDA7DBB}" maximized="1" windowWidth="0" windowHeight="0" activeSheetId="0"/>
    <customWorkbookView name="Filtro 124" guid="{ED76D480-E618-496C-AF48-707CE66C1CCA}" maximized="1" windowWidth="0" windowHeight="0" activeSheetId="0"/>
    <customWorkbookView name="Filtro 123" guid="{EA449EF3-7A32-4F7F-A182-E5520C8A1BAC}" maximized="1" windowWidth="0" windowHeight="0" activeSheetId="0"/>
    <customWorkbookView name="Filtro 122" guid="{39D9A1F7-1A24-4CA1-BED4-4ECC2E944BEC}" maximized="1" windowWidth="0" windowHeight="0" activeSheetId="0"/>
    <customWorkbookView name="Filtro 121" guid="{B1C0A67C-9350-4957-BB31-605313D3D89A}" maximized="1" windowWidth="0" windowHeight="0" activeSheetId="0"/>
    <customWorkbookView name="Filtro 128" guid="{DE4BD88E-A8FA-43E0-BF3F-133D01E45D1B}" maximized="1" windowWidth="0" windowHeight="0" activeSheetId="0"/>
    <customWorkbookView name="Filtro 127" guid="{B32F995C-45FB-4FD6-B801-5C152D4F8297}" maximized="1" windowWidth="0" windowHeight="0" activeSheetId="0"/>
    <customWorkbookView name="Filtro 126" guid="{F2FCB189-6941-49BB-B264-FDB0E51FFE97}" maximized="1" windowWidth="0" windowHeight="0" activeSheetId="0"/>
    <customWorkbookView name="Filtro 125" guid="{72605CD4-D183-43EC-B14E-A23E6A40422F}" maximized="1" windowWidth="0" windowHeight="0" activeSheetId="0"/>
    <customWorkbookView name="Filtro 50" guid="{BDBC6C63-9C81-4FA7-BDD1-7783C0C5BE8F}" maximized="1" windowWidth="0" windowHeight="0" activeSheetId="0"/>
    <customWorkbookView name="Filtro 119" guid="{2B78DB92-23ED-41AE-800E-0D62B2C0D00C}" maximized="1" windowWidth="0" windowHeight="0" activeSheetId="0"/>
    <customWorkbookView name="Filtro 118" guid="{EE7469D8-FEC6-4B23-AA72-228C5388AD9B}" maximized="1" windowWidth="0" windowHeight="0" activeSheetId="0"/>
    <customWorkbookView name="Filtro 52" guid="{1901C315-A6F4-40C5-97AE-20FEA30D1998}" maximized="1" windowWidth="0" windowHeight="0" activeSheetId="0"/>
    <customWorkbookView name="Filtro 51" guid="{5985B50B-589A-4557-BF13-FBD2AA6CBFEF}" maximized="1" windowWidth="0" windowHeight="0" activeSheetId="0"/>
    <customWorkbookView name="Filtro 54" guid="{EC1DCC0D-E129-4C74-BE3D-43D480D0867F}" maximized="1" windowWidth="0" windowHeight="0" activeSheetId="0"/>
    <customWorkbookView name="Filtro 53" guid="{1372FA21-B41A-4AFA-8E15-B6E16AD4F49A}" maximized="1" windowWidth="0" windowHeight="0" activeSheetId="0"/>
    <customWorkbookView name="Filtro 56" guid="{41D88D91-A03F-4905-86BE-3778DE8CB239}" maximized="1" windowWidth="0" windowHeight="0" activeSheetId="0"/>
    <customWorkbookView name="Filtro 55" guid="{BE3FF041-F392-4149-A91D-8A0AB6F020F4}" maximized="1" windowWidth="0" windowHeight="0" activeSheetId="0"/>
    <customWorkbookView name="Filtro 58" guid="{C11E39E1-9AD3-453D-964D-3E9891605FEB}" maximized="1" windowWidth="0" windowHeight="0" activeSheetId="0"/>
    <customWorkbookView name="Filtro 57" guid="{625A5899-51C4-4745-8B4C-358F7EF9D3F9}" maximized="1" windowWidth="0" windowHeight="0" activeSheetId="0"/>
    <customWorkbookView name="Filtro 59" guid="{A352A1A2-1501-46DF-9C13-63D624E4BB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D23" i="14"/>
  <c r="O22" i="14"/>
  <c r="M22" i="14"/>
  <c r="N22" i="14" s="1"/>
  <c r="K22" i="14"/>
  <c r="D22" i="14"/>
  <c r="M21" i="14"/>
  <c r="K21" i="14"/>
  <c r="D21" i="14"/>
  <c r="K20" i="14"/>
  <c r="G20" i="14"/>
  <c r="D20" i="14"/>
  <c r="M19" i="14"/>
  <c r="O19" i="14" s="1"/>
  <c r="K19" i="14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O4" i="14"/>
  <c r="M4" i="14"/>
  <c r="K4" i="14"/>
  <c r="D4" i="14"/>
  <c r="P3" i="14"/>
  <c r="P5" i="14" s="1"/>
  <c r="K3" i="14"/>
  <c r="K5" i="14" s="1"/>
  <c r="L3" i="14" s="1"/>
  <c r="D3" i="14"/>
  <c r="P14" i="14" s="1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/>
  <c r="V15" i="4"/>
  <c r="J15" i="4"/>
  <c r="AV14" i="4" a="1"/>
  <c r="AV14" i="4"/>
  <c r="V14" i="4"/>
  <c r="J14" i="4"/>
  <c r="AV13" i="4" a="1"/>
  <c r="AV13" i="4"/>
  <c r="V13" i="4"/>
  <c r="J13" i="4"/>
  <c r="AV12" i="4" a="1"/>
  <c r="AV12" i="4"/>
  <c r="V12" i="4"/>
  <c r="J12" i="4"/>
  <c r="AV11" i="4" a="1"/>
  <c r="AV11" i="4"/>
  <c r="V11" i="4"/>
  <c r="J11" i="4"/>
  <c r="AV10" i="4" a="1"/>
  <c r="AV10" i="4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V392" i="3"/>
  <c r="J392" i="3"/>
  <c r="G392" i="3"/>
  <c r="CJ391" i="3" a="1"/>
  <c r="CJ391" i="3"/>
  <c r="G391" i="3" s="1"/>
  <c r="V391" i="3"/>
  <c r="J391" i="3"/>
  <c r="CJ390" i="3" a="1"/>
  <c r="CJ390" i="3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V384" i="3"/>
  <c r="J384" i="3"/>
  <c r="G384" i="3"/>
  <c r="CJ383" i="3" a="1"/>
  <c r="CJ383" i="3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V377" i="3"/>
  <c r="J377" i="3"/>
  <c r="G377" i="3"/>
  <c r="CJ376" i="3" a="1"/>
  <c r="CJ376" i="3" s="1"/>
  <c r="V376" i="3"/>
  <c r="J376" i="3"/>
  <c r="G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/>
  <c r="G371" i="3" s="1"/>
  <c r="V371" i="3"/>
  <c r="J371" i="3"/>
  <c r="CJ370" i="3" a="1"/>
  <c r="CJ370" i="3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V364" i="3"/>
  <c r="J364" i="3"/>
  <c r="G364" i="3"/>
  <c r="CJ363" i="3" a="1"/>
  <c r="CJ363" i="3"/>
  <c r="G363" i="3" s="1"/>
  <c r="V363" i="3"/>
  <c r="J363" i="3"/>
  <c r="CJ362" i="3" a="1"/>
  <c r="CJ362" i="3"/>
  <c r="G362" i="3" s="1"/>
  <c r="V362" i="3"/>
  <c r="J362" i="3"/>
  <c r="CJ361" i="3" a="1"/>
  <c r="CJ361" i="3" s="1"/>
  <c r="V361" i="3"/>
  <c r="J361" i="3"/>
  <c r="G361" i="3"/>
  <c r="CJ360" i="3" a="1"/>
  <c r="CJ360" i="3" s="1"/>
  <c r="V360" i="3"/>
  <c r="J360" i="3"/>
  <c r="G360" i="3"/>
  <c r="CJ359" i="3" a="1"/>
  <c r="CJ359" i="3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/>
  <c r="G351" i="3" s="1"/>
  <c r="V351" i="3"/>
  <c r="J351" i="3"/>
  <c r="CJ350" i="3" a="1"/>
  <c r="CJ350" i="3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/>
  <c r="G347" i="3" s="1"/>
  <c r="V347" i="3"/>
  <c r="J347" i="3"/>
  <c r="CJ346" i="3" a="1"/>
  <c r="CJ346" i="3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/>
  <c r="G343" i="3" s="1"/>
  <c r="V343" i="3"/>
  <c r="J343" i="3"/>
  <c r="CJ342" i="3" a="1"/>
  <c r="CJ342" i="3" s="1"/>
  <c r="G342" i="3" s="1"/>
  <c r="V342" i="3"/>
  <c r="J342" i="3"/>
  <c r="CJ341" i="3" a="1"/>
  <c r="CJ341" i="3"/>
  <c r="G341" i="3" s="1"/>
  <c r="V341" i="3"/>
  <c r="J341" i="3"/>
  <c r="CJ340" i="3" a="1"/>
  <c r="CJ340" i="3" s="1"/>
  <c r="V340" i="3"/>
  <c r="J340" i="3"/>
  <c r="G340" i="3"/>
  <c r="CJ339" i="3" a="1"/>
  <c r="CJ339" i="3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/>
  <c r="G333" i="3" s="1"/>
  <c r="V333" i="3"/>
  <c r="J333" i="3"/>
  <c r="CJ332" i="3" a="1"/>
  <c r="CJ332" i="3" s="1"/>
  <c r="G332" i="3" s="1"/>
  <c r="V332" i="3"/>
  <c r="J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/>
  <c r="G321" i="3" s="1"/>
  <c r="V321" i="3"/>
  <c r="J321" i="3"/>
  <c r="CJ320" i="3" a="1"/>
  <c r="CJ320" i="3"/>
  <c r="G320" i="3" s="1"/>
  <c r="V320" i="3"/>
  <c r="J320" i="3"/>
  <c r="CJ319" i="3" a="1"/>
  <c r="CJ319" i="3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/>
  <c r="G313" i="3" s="1"/>
  <c r="V313" i="3"/>
  <c r="J313" i="3"/>
  <c r="CJ312" i="3" a="1"/>
  <c r="CJ312" i="3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/>
  <c r="G301" i="3" s="1"/>
  <c r="V301" i="3"/>
  <c r="J301" i="3"/>
  <c r="CJ300" i="3" a="1"/>
  <c r="CJ300" i="3" s="1"/>
  <c r="G300" i="3" s="1"/>
  <c r="V300" i="3"/>
  <c r="J300" i="3"/>
  <c r="CJ299" i="3" a="1"/>
  <c r="CJ299" i="3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/>
  <c r="G293" i="3" s="1"/>
  <c r="V293" i="3"/>
  <c r="J293" i="3"/>
  <c r="CJ292" i="3" a="1"/>
  <c r="CJ292" i="3" s="1"/>
  <c r="G292" i="3" s="1"/>
  <c r="V292" i="3"/>
  <c r="J292" i="3"/>
  <c r="CJ291" i="3" a="1"/>
  <c r="CJ291" i="3"/>
  <c r="G291" i="3" s="1"/>
  <c r="V291" i="3"/>
  <c r="J291" i="3"/>
  <c r="CJ290" i="3" a="1"/>
  <c r="CJ290" i="3" s="1"/>
  <c r="G290" i="3" s="1"/>
  <c r="V290" i="3"/>
  <c r="J290" i="3"/>
  <c r="CJ289" i="3" a="1"/>
  <c r="CJ289" i="3"/>
  <c r="G289" i="3" s="1"/>
  <c r="V289" i="3"/>
  <c r="J289" i="3"/>
  <c r="CJ288" i="3" a="1"/>
  <c r="CJ288" i="3"/>
  <c r="G288" i="3" s="1"/>
  <c r="V288" i="3"/>
  <c r="J288" i="3"/>
  <c r="CJ287" i="3" a="1"/>
  <c r="CJ287" i="3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/>
  <c r="G283" i="3" s="1"/>
  <c r="V283" i="3"/>
  <c r="J283" i="3"/>
  <c r="CJ282" i="3" a="1"/>
  <c r="CJ282" i="3" s="1"/>
  <c r="G282" i="3" s="1"/>
  <c r="V282" i="3"/>
  <c r="J282" i="3"/>
  <c r="CJ281" i="3" a="1"/>
  <c r="CJ281" i="3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 s="1"/>
  <c r="V278" i="3"/>
  <c r="J278" i="3"/>
  <c r="G278" i="3"/>
  <c r="CJ277" i="3" a="1"/>
  <c r="CJ277" i="3"/>
  <c r="G277" i="3" s="1"/>
  <c r="V277" i="3"/>
  <c r="J277" i="3"/>
  <c r="CJ276" i="3" a="1"/>
  <c r="CJ276" i="3" s="1"/>
  <c r="V276" i="3"/>
  <c r="J276" i="3"/>
  <c r="G276" i="3"/>
  <c r="CJ275" i="3" a="1"/>
  <c r="CJ275" i="3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/>
  <c r="G269" i="3" s="1"/>
  <c r="V269" i="3"/>
  <c r="J269" i="3"/>
  <c r="CJ268" i="3" a="1"/>
  <c r="CJ268" i="3" s="1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/>
  <c r="G261" i="3" s="1"/>
  <c r="V261" i="3"/>
  <c r="J261" i="3"/>
  <c r="CJ260" i="3" a="1"/>
  <c r="CJ260" i="3" s="1"/>
  <c r="G260" i="3" s="1"/>
  <c r="V260" i="3"/>
  <c r="J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/>
  <c r="G257" i="3" s="1"/>
  <c r="V257" i="3"/>
  <c r="J257" i="3"/>
  <c r="CJ256" i="3" a="1"/>
  <c r="CJ256" i="3"/>
  <c r="G256" i="3" s="1"/>
  <c r="V256" i="3"/>
  <c r="J256" i="3"/>
  <c r="CJ255" i="3" a="1"/>
  <c r="CJ255" i="3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/>
  <c r="G251" i="3" s="1"/>
  <c r="V251" i="3"/>
  <c r="J251" i="3"/>
  <c r="CJ250" i="3" a="1"/>
  <c r="CJ250" i="3" s="1"/>
  <c r="G250" i="3" s="1"/>
  <c r="V250" i="3"/>
  <c r="J250" i="3"/>
  <c r="CJ249" i="3" a="1"/>
  <c r="CJ249" i="3"/>
  <c r="G249" i="3" s="1"/>
  <c r="V249" i="3"/>
  <c r="J249" i="3"/>
  <c r="CJ248" i="3" a="1"/>
  <c r="CJ248" i="3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/>
  <c r="G245" i="3" s="1"/>
  <c r="V245" i="3"/>
  <c r="J245" i="3"/>
  <c r="CJ244" i="3" a="1"/>
  <c r="CJ244" i="3" s="1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/>
  <c r="G241" i="3" s="1"/>
  <c r="V241" i="3"/>
  <c r="J241" i="3"/>
  <c r="CJ240" i="3" a="1"/>
  <c r="CJ240" i="3" s="1"/>
  <c r="V240" i="3"/>
  <c r="J240" i="3"/>
  <c r="G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 s="1"/>
  <c r="G232" i="3" s="1"/>
  <c r="V232" i="3"/>
  <c r="J232" i="3"/>
  <c r="CJ231" i="3" a="1"/>
  <c r="CJ231" i="3"/>
  <c r="G231" i="3" s="1"/>
  <c r="V231" i="3"/>
  <c r="J231" i="3"/>
  <c r="CJ230" i="3" a="1"/>
  <c r="CJ230" i="3" s="1"/>
  <c r="G230" i="3" s="1"/>
  <c r="V230" i="3"/>
  <c r="J230" i="3"/>
  <c r="CJ229" i="3" a="1"/>
  <c r="CJ229" i="3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/>
  <c r="G225" i="3" s="1"/>
  <c r="V225" i="3"/>
  <c r="J225" i="3"/>
  <c r="CJ224" i="3" a="1"/>
  <c r="CJ224" i="3"/>
  <c r="G224" i="3" s="1"/>
  <c r="V224" i="3"/>
  <c r="J224" i="3"/>
  <c r="CJ223" i="3" a="1"/>
  <c r="CJ223" i="3"/>
  <c r="G223" i="3" s="1"/>
  <c r="V223" i="3"/>
  <c r="J223" i="3"/>
  <c r="CJ222" i="3" a="1"/>
  <c r="CJ222" i="3" s="1"/>
  <c r="G222" i="3" s="1"/>
  <c r="V222" i="3"/>
  <c r="J222" i="3"/>
  <c r="CJ221" i="3" a="1"/>
  <c r="CJ221" i="3"/>
  <c r="G221" i="3" s="1"/>
  <c r="V221" i="3"/>
  <c r="J221" i="3"/>
  <c r="CJ220" i="3" a="1"/>
  <c r="CJ220" i="3" s="1"/>
  <c r="G220" i="3" s="1"/>
  <c r="V220" i="3"/>
  <c r="J220" i="3"/>
  <c r="CJ219" i="3" a="1"/>
  <c r="CJ219" i="3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/>
  <c r="G213" i="3" s="1"/>
  <c r="V213" i="3"/>
  <c r="J213" i="3"/>
  <c r="CJ212" i="3" a="1"/>
  <c r="CJ212" i="3" s="1"/>
  <c r="G212" i="3" s="1"/>
  <c r="V212" i="3"/>
  <c r="J212" i="3"/>
  <c r="CJ211" i="3" a="1"/>
  <c r="CJ211" i="3"/>
  <c r="G211" i="3" s="1"/>
  <c r="V211" i="3"/>
  <c r="J211" i="3"/>
  <c r="CJ210" i="3" a="1"/>
  <c r="CJ210" i="3" s="1"/>
  <c r="G210" i="3" s="1"/>
  <c r="V210" i="3"/>
  <c r="J210" i="3"/>
  <c r="CJ209" i="3" a="1"/>
  <c r="CJ209" i="3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/>
  <c r="G200" i="3" s="1"/>
  <c r="V200" i="3"/>
  <c r="J200" i="3"/>
  <c r="CJ199" i="3" a="1"/>
  <c r="CJ199" i="3" s="1"/>
  <c r="G199" i="3" s="1"/>
  <c r="V199" i="3"/>
  <c r="J199" i="3"/>
  <c r="CJ198" i="3" a="1"/>
  <c r="CJ198" i="3"/>
  <c r="G198" i="3" s="1"/>
  <c r="V198" i="3"/>
  <c r="J198" i="3"/>
  <c r="CJ197" i="3" a="1"/>
  <c r="CJ197" i="3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/>
  <c r="G192" i="3" s="1"/>
  <c r="V192" i="3"/>
  <c r="J192" i="3"/>
  <c r="CJ191" i="3" a="1"/>
  <c r="CJ191" i="3" s="1"/>
  <c r="G191" i="3" s="1"/>
  <c r="V191" i="3"/>
  <c r="J191" i="3"/>
  <c r="CJ190" i="3" a="1"/>
  <c r="CJ190" i="3"/>
  <c r="G190" i="3" s="1"/>
  <c r="V190" i="3"/>
  <c r="J190" i="3"/>
  <c r="CJ189" i="3" a="1"/>
  <c r="CJ189" i="3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/>
  <c r="G176" i="3" s="1"/>
  <c r="V176" i="3"/>
  <c r="J176" i="3"/>
  <c r="CJ175" i="3" a="1"/>
  <c r="CJ175" i="3" s="1"/>
  <c r="G175" i="3" s="1"/>
  <c r="V175" i="3"/>
  <c r="J175" i="3"/>
  <c r="CJ174" i="3" a="1"/>
  <c r="CJ174" i="3"/>
  <c r="G174" i="3" s="1"/>
  <c r="V174" i="3"/>
  <c r="J174" i="3"/>
  <c r="CJ173" i="3" a="1"/>
  <c r="CJ173" i="3"/>
  <c r="G173" i="3" s="1"/>
  <c r="V173" i="3"/>
  <c r="J173" i="3"/>
  <c r="CJ172" i="3" a="1"/>
  <c r="CJ172" i="3" s="1"/>
  <c r="V172" i="3"/>
  <c r="J172" i="3"/>
  <c r="G172" i="3"/>
  <c r="CJ171" i="3" a="1"/>
  <c r="CJ171" i="3" s="1"/>
  <c r="V171" i="3"/>
  <c r="J171" i="3"/>
  <c r="G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/>
  <c r="G162" i="3" s="1"/>
  <c r="V162" i="3"/>
  <c r="J162" i="3"/>
  <c r="CJ161" i="3" a="1"/>
  <c r="CJ161" i="3" s="1"/>
  <c r="G161" i="3" s="1"/>
  <c r="V161" i="3"/>
  <c r="J161" i="3"/>
  <c r="CJ160" i="3" a="1"/>
  <c r="CJ160" i="3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/>
  <c r="G149" i="3" s="1"/>
  <c r="V149" i="3"/>
  <c r="J149" i="3"/>
  <c r="CJ148" i="3" a="1"/>
  <c r="CJ148" i="3" s="1"/>
  <c r="G148" i="3" s="1"/>
  <c r="V148" i="3"/>
  <c r="J148" i="3"/>
  <c r="CJ147" i="3" a="1"/>
  <c r="CJ147" i="3" s="1"/>
  <c r="V147" i="3"/>
  <c r="J147" i="3"/>
  <c r="G147" i="3"/>
  <c r="CJ146" i="3" a="1"/>
  <c r="CJ146" i="3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/>
  <c r="G142" i="3" s="1"/>
  <c r="V142" i="3"/>
  <c r="J142" i="3"/>
  <c r="CJ141" i="3" a="1"/>
  <c r="CJ141" i="3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/>
  <c r="G136" i="3" s="1"/>
  <c r="V136" i="3"/>
  <c r="J136" i="3"/>
  <c r="CJ135" i="3" a="1"/>
  <c r="CJ135" i="3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/>
  <c r="G128" i="3" s="1"/>
  <c r="V128" i="3"/>
  <c r="J128" i="3"/>
  <c r="CJ127" i="3" a="1"/>
  <c r="CJ127" i="3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/>
  <c r="G124" i="3" s="1"/>
  <c r="V124" i="3"/>
  <c r="J124" i="3"/>
  <c r="CJ123" i="3" a="1"/>
  <c r="CJ123" i="3"/>
  <c r="G123" i="3" s="1"/>
  <c r="V123" i="3"/>
  <c r="J123" i="3"/>
  <c r="CJ122" i="3" a="1"/>
  <c r="CJ122" i="3" s="1"/>
  <c r="V122" i="3"/>
  <c r="J122" i="3"/>
  <c r="G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/>
  <c r="G116" i="3" s="1"/>
  <c r="V116" i="3"/>
  <c r="J116" i="3"/>
  <c r="CJ115" i="3" a="1"/>
  <c r="CJ115" i="3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/>
  <c r="G108" i="3" s="1"/>
  <c r="V108" i="3"/>
  <c r="J108" i="3"/>
  <c r="CJ107" i="3" a="1"/>
  <c r="CJ107" i="3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/>
  <c r="G104" i="3" s="1"/>
  <c r="V104" i="3"/>
  <c r="J104" i="3"/>
  <c r="CJ103" i="3" a="1"/>
  <c r="CJ103" i="3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/>
  <c r="G96" i="3" s="1"/>
  <c r="V96" i="3"/>
  <c r="J96" i="3"/>
  <c r="CJ95" i="3" a="1"/>
  <c r="CJ95" i="3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/>
  <c r="G92" i="3" s="1"/>
  <c r="V92" i="3"/>
  <c r="J92" i="3"/>
  <c r="CJ91" i="3" a="1"/>
  <c r="CJ91" i="3"/>
  <c r="G91" i="3" s="1"/>
  <c r="V91" i="3"/>
  <c r="J91" i="3"/>
  <c r="CJ90" i="3" a="1"/>
  <c r="CJ90" i="3" s="1"/>
  <c r="V90" i="3"/>
  <c r="J90" i="3"/>
  <c r="G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/>
  <c r="G84" i="3" s="1"/>
  <c r="V84" i="3"/>
  <c r="J84" i="3"/>
  <c r="CJ83" i="3" a="1"/>
  <c r="CJ83" i="3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/>
  <c r="G76" i="3" s="1"/>
  <c r="V76" i="3"/>
  <c r="J76" i="3"/>
  <c r="CJ75" i="3" a="1"/>
  <c r="CJ75" i="3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/>
  <c r="G60" i="3" s="1"/>
  <c r="V60" i="3"/>
  <c r="J60" i="3"/>
  <c r="CJ59" i="3" a="1"/>
  <c r="CJ59" i="3"/>
  <c r="G59" i="3" s="1"/>
  <c r="V59" i="3"/>
  <c r="J59" i="3"/>
  <c r="CJ58" i="3" a="1"/>
  <c r="CJ58" i="3" s="1"/>
  <c r="V58" i="3"/>
  <c r="J58" i="3"/>
  <c r="G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/>
  <c r="G52" i="3" s="1"/>
  <c r="V52" i="3"/>
  <c r="J52" i="3"/>
  <c r="CJ51" i="3" a="1"/>
  <c r="CJ51" i="3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/>
  <c r="G44" i="3" s="1"/>
  <c r="V44" i="3"/>
  <c r="J44" i="3"/>
  <c r="CJ43" i="3" a="1"/>
  <c r="CJ43" i="3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 s="1"/>
  <c r="V26" i="3"/>
  <c r="J26" i="3"/>
  <c r="G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/>
  <c r="G20" i="3" s="1"/>
  <c r="V20" i="3"/>
  <c r="J20" i="3"/>
  <c r="CJ19" i="3" a="1"/>
  <c r="CJ19" i="3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 s="1"/>
  <c r="G863" i="2" s="1"/>
  <c r="V863" i="2"/>
  <c r="J863" i="2"/>
  <c r="BA862" i="2" a="1"/>
  <c r="BA862" i="2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BA856" i="2" a="1"/>
  <c r="BA856" i="2" s="1"/>
  <c r="G856" i="2" s="1"/>
  <c r="V856" i="2"/>
  <c r="J856" i="2"/>
  <c r="BA855" i="2" a="1"/>
  <c r="BA855" i="2"/>
  <c r="G855" i="2" s="1"/>
  <c r="V855" i="2"/>
  <c r="J855" i="2"/>
  <c r="BA854" i="2" a="1"/>
  <c r="BA854" i="2" s="1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/>
  <c r="G849" i="2" s="1"/>
  <c r="V849" i="2"/>
  <c r="J849" i="2"/>
  <c r="BA848" i="2" a="1"/>
  <c r="BA848" i="2" s="1"/>
  <c r="G848" i="2" s="1"/>
  <c r="V848" i="2"/>
  <c r="J848" i="2"/>
  <c r="BA847" i="2" a="1"/>
  <c r="BA847" i="2"/>
  <c r="G847" i="2" s="1"/>
  <c r="V847" i="2"/>
  <c r="J847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/>
  <c r="G788" i="2" s="1"/>
  <c r="V788" i="2"/>
  <c r="J788" i="2"/>
  <c r="BA787" i="2" a="1"/>
  <c r="BA787" i="2" s="1"/>
  <c r="V787" i="2"/>
  <c r="J787" i="2"/>
  <c r="G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/>
  <c r="G784" i="2" s="1"/>
  <c r="V784" i="2"/>
  <c r="J784" i="2"/>
  <c r="BA783" i="2" a="1"/>
  <c r="BA783" i="2" s="1"/>
  <c r="V783" i="2"/>
  <c r="J783" i="2"/>
  <c r="G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/>
  <c r="G780" i="2" s="1"/>
  <c r="V780" i="2"/>
  <c r="J780" i="2"/>
  <c r="BA779" i="2" a="1"/>
  <c r="BA779" i="2" s="1"/>
  <c r="V779" i="2"/>
  <c r="J779" i="2"/>
  <c r="G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/>
  <c r="G776" i="2" s="1"/>
  <c r="V776" i="2"/>
  <c r="J776" i="2"/>
  <c r="BA775" i="2" a="1"/>
  <c r="BA775" i="2" s="1"/>
  <c r="V775" i="2"/>
  <c r="J775" i="2"/>
  <c r="G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/>
  <c r="G772" i="2" s="1"/>
  <c r="V772" i="2"/>
  <c r="J772" i="2"/>
  <c r="BA771" i="2" a="1"/>
  <c r="BA771" i="2" s="1"/>
  <c r="V771" i="2"/>
  <c r="J771" i="2"/>
  <c r="G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/>
  <c r="G768" i="2" s="1"/>
  <c r="V768" i="2"/>
  <c r="J768" i="2"/>
  <c r="BA767" i="2" a="1"/>
  <c r="BA767" i="2" s="1"/>
  <c r="V767" i="2"/>
  <c r="J767" i="2"/>
  <c r="G767" i="2"/>
  <c r="BA766" i="2" a="1"/>
  <c r="BA766" i="2"/>
  <c r="G766" i="2" s="1"/>
  <c r="V766" i="2"/>
  <c r="J766" i="2"/>
  <c r="BA765" i="2" a="1"/>
  <c r="BA765" i="2" s="1"/>
  <c r="G765" i="2" s="1"/>
  <c r="V765" i="2"/>
  <c r="J765" i="2"/>
  <c r="BA764" i="2" a="1"/>
  <c r="BA764" i="2"/>
  <c r="G764" i="2" s="1"/>
  <c r="V764" i="2"/>
  <c r="J764" i="2"/>
  <c r="BA763" i="2" a="1"/>
  <c r="BA763" i="2" s="1"/>
  <c r="V763" i="2"/>
  <c r="J763" i="2"/>
  <c r="G763" i="2"/>
  <c r="BA762" i="2" a="1"/>
  <c r="BA762" i="2" s="1"/>
  <c r="G762" i="2" s="1"/>
  <c r="V762" i="2"/>
  <c r="J762" i="2"/>
  <c r="BA761" i="2" a="1"/>
  <c r="BA761" i="2" s="1"/>
  <c r="G761" i="2" s="1"/>
  <c r="V761" i="2"/>
  <c r="BA760" i="2" a="1"/>
  <c r="BA760" i="2" s="1"/>
  <c r="G760" i="2" s="1"/>
  <c r="V760" i="2"/>
  <c r="J760" i="2"/>
  <c r="BA759" i="2" a="1"/>
  <c r="BA759" i="2"/>
  <c r="G759" i="2" s="1"/>
  <c r="V759" i="2"/>
  <c r="J759" i="2"/>
  <c r="BA758" i="2" a="1"/>
  <c r="BA758" i="2" s="1"/>
  <c r="V758" i="2"/>
  <c r="J758" i="2"/>
  <c r="G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/>
  <c r="G755" i="2" s="1"/>
  <c r="V755" i="2"/>
  <c r="J755" i="2"/>
  <c r="BA754" i="2" a="1"/>
  <c r="BA754" i="2" s="1"/>
  <c r="V754" i="2"/>
  <c r="J754" i="2"/>
  <c r="G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/>
  <c r="G751" i="2" s="1"/>
  <c r="V751" i="2"/>
  <c r="J751" i="2"/>
  <c r="BA750" i="2" a="1"/>
  <c r="BA750" i="2" s="1"/>
  <c r="V750" i="2"/>
  <c r="J750" i="2"/>
  <c r="G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/>
  <c r="G747" i="2" s="1"/>
  <c r="V747" i="2"/>
  <c r="J747" i="2"/>
  <c r="BA746" i="2" a="1"/>
  <c r="BA746" i="2" s="1"/>
  <c r="V746" i="2"/>
  <c r="J746" i="2"/>
  <c r="G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/>
  <c r="G743" i="2" s="1"/>
  <c r="V743" i="2"/>
  <c r="J743" i="2"/>
  <c r="BA742" i="2" a="1"/>
  <c r="BA742" i="2" s="1"/>
  <c r="V742" i="2"/>
  <c r="J742" i="2"/>
  <c r="G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/>
  <c r="G739" i="2" s="1"/>
  <c r="V739" i="2"/>
  <c r="J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V728" i="2"/>
  <c r="J728" i="2"/>
  <c r="G728" i="2"/>
  <c r="BA727" i="2" a="1"/>
  <c r="BA727" i="2"/>
  <c r="G727" i="2" s="1"/>
  <c r="V727" i="2"/>
  <c r="J727" i="2"/>
  <c r="BA726" i="2" a="1"/>
  <c r="BA726" i="2"/>
  <c r="G726" i="2" s="1"/>
  <c r="V726" i="2"/>
  <c r="J726" i="2"/>
  <c r="BA725" i="2" a="1"/>
  <c r="BA725" i="2" s="1"/>
  <c r="G725" i="2" s="1"/>
  <c r="V725" i="2"/>
  <c r="J725" i="2"/>
  <c r="BA724" i="2" a="1"/>
  <c r="BA724" i="2" s="1"/>
  <c r="V724" i="2"/>
  <c r="G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/>
  <c r="G714" i="2" s="1"/>
  <c r="V714" i="2"/>
  <c r="J714" i="2"/>
  <c r="BA713" i="2" a="1"/>
  <c r="BA713" i="2" s="1"/>
  <c r="V713" i="2"/>
  <c r="J713" i="2"/>
  <c r="G713" i="2"/>
  <c r="BA712" i="2" a="1"/>
  <c r="BA712" i="2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/>
  <c r="G697" i="2" s="1"/>
  <c r="V697" i="2"/>
  <c r="J697" i="2"/>
  <c r="BA696" i="2" a="1"/>
  <c r="BA696" i="2" s="1"/>
  <c r="V696" i="2"/>
  <c r="J696" i="2"/>
  <c r="G696" i="2"/>
  <c r="BA695" i="2" a="1"/>
  <c r="BA695" i="2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/>
  <c r="G689" i="2" s="1"/>
  <c r="V689" i="2"/>
  <c r="J689" i="2"/>
  <c r="BA688" i="2" a="1"/>
  <c r="BA688" i="2" s="1"/>
  <c r="V688" i="2"/>
  <c r="J688" i="2"/>
  <c r="G688" i="2"/>
  <c r="BA687" i="2" a="1"/>
  <c r="BA687" i="2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/>
  <c r="G677" i="2" s="1"/>
  <c r="V677" i="2"/>
  <c r="J677" i="2"/>
  <c r="BA676" i="2" a="1"/>
  <c r="BA676" i="2" s="1"/>
  <c r="V676" i="2"/>
  <c r="J676" i="2"/>
  <c r="G676" i="2"/>
  <c r="BA675" i="2" a="1"/>
  <c r="BA675" i="2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/>
  <c r="G665" i="2" s="1"/>
  <c r="V665" i="2"/>
  <c r="J665" i="2"/>
  <c r="BA664" i="2" a="1"/>
  <c r="BA664" i="2" s="1"/>
  <c r="V664" i="2"/>
  <c r="J664" i="2"/>
  <c r="G664" i="2"/>
  <c r="BA663" i="2" a="1"/>
  <c r="BA663" i="2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BA659" i="2" a="1"/>
  <c r="BA659" i="2" s="1"/>
  <c r="G659" i="2" s="1"/>
  <c r="V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/>
  <c r="G655" i="2" s="1"/>
  <c r="V655" i="2"/>
  <c r="J655" i="2"/>
  <c r="BA654" i="2" a="1"/>
  <c r="BA654" i="2" s="1"/>
  <c r="V654" i="2"/>
  <c r="J654" i="2"/>
  <c r="G654" i="2"/>
  <c r="BA653" i="2" a="1"/>
  <c r="BA653" i="2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/>
  <c r="G643" i="2" s="1"/>
  <c r="V643" i="2"/>
  <c r="J643" i="2"/>
  <c r="BA642" i="2" a="1"/>
  <c r="BA642" i="2" s="1"/>
  <c r="V642" i="2"/>
  <c r="J642" i="2"/>
  <c r="G642" i="2"/>
  <c r="BA641" i="2" a="1"/>
  <c r="BA641" i="2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/>
  <c r="G631" i="2" s="1"/>
  <c r="V631" i="2"/>
  <c r="J631" i="2"/>
  <c r="BA630" i="2" a="1"/>
  <c r="BA630" i="2" s="1"/>
  <c r="V630" i="2"/>
  <c r="J630" i="2"/>
  <c r="G630" i="2"/>
  <c r="BA629" i="2" a="1"/>
  <c r="BA629" i="2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/>
  <c r="G623" i="2" s="1"/>
  <c r="V623" i="2"/>
  <c r="J623" i="2"/>
  <c r="BA622" i="2" a="1"/>
  <c r="BA622" i="2" s="1"/>
  <c r="V622" i="2"/>
  <c r="J622" i="2"/>
  <c r="G622" i="2"/>
  <c r="BA621" i="2" a="1"/>
  <c r="BA621" i="2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/>
  <c r="G611" i="2" s="1"/>
  <c r="V611" i="2"/>
  <c r="J611" i="2"/>
  <c r="BA610" i="2" a="1"/>
  <c r="BA610" i="2" s="1"/>
  <c r="V610" i="2"/>
  <c r="J610" i="2"/>
  <c r="G610" i="2"/>
  <c r="BA609" i="2" a="1"/>
  <c r="BA609" i="2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/>
  <c r="G599" i="2" s="1"/>
  <c r="V599" i="2"/>
  <c r="J599" i="2"/>
  <c r="BA598" i="2" a="1"/>
  <c r="BA598" i="2" s="1"/>
  <c r="V598" i="2"/>
  <c r="J598" i="2"/>
  <c r="G598" i="2"/>
  <c r="BA597" i="2" a="1"/>
  <c r="BA597" i="2"/>
  <c r="G597" i="2" s="1"/>
  <c r="V597" i="2"/>
  <c r="J597" i="2"/>
  <c r="BA596" i="2" a="1"/>
  <c r="BA596" i="2" s="1"/>
  <c r="G596" i="2" s="1"/>
  <c r="V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/>
  <c r="G586" i="2" s="1"/>
  <c r="V586" i="2"/>
  <c r="J586" i="2"/>
  <c r="BA585" i="2" a="1"/>
  <c r="BA585" i="2" s="1"/>
  <c r="V585" i="2"/>
  <c r="J585" i="2"/>
  <c r="G585" i="2"/>
  <c r="BA584" i="2" a="1"/>
  <c r="BA584" i="2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/>
  <c r="G577" i="2" s="1"/>
  <c r="V577" i="2"/>
  <c r="J577" i="2"/>
  <c r="BA576" i="2" a="1"/>
  <c r="BA576" i="2" s="1"/>
  <c r="V576" i="2"/>
  <c r="J576" i="2"/>
  <c r="G576" i="2"/>
  <c r="BA575" i="2" a="1"/>
  <c r="BA575" i="2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/>
  <c r="G569" i="2" s="1"/>
  <c r="V569" i="2"/>
  <c r="J569" i="2"/>
  <c r="BA568" i="2" a="1"/>
  <c r="BA568" i="2" s="1"/>
  <c r="V568" i="2"/>
  <c r="J568" i="2"/>
  <c r="G568" i="2"/>
  <c r="BA567" i="2" a="1"/>
  <c r="BA567" i="2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/>
  <c r="G557" i="2" s="1"/>
  <c r="V557" i="2"/>
  <c r="J557" i="2"/>
  <c r="BA556" i="2" a="1"/>
  <c r="BA556" i="2" s="1"/>
  <c r="V556" i="2"/>
  <c r="J556" i="2"/>
  <c r="G556" i="2"/>
  <c r="BA555" i="2" a="1"/>
  <c r="BA555" i="2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/>
  <c r="G544" i="2" s="1"/>
  <c r="V544" i="2"/>
  <c r="J544" i="2"/>
  <c r="BA543" i="2" a="1"/>
  <c r="BA543" i="2" s="1"/>
  <c r="V543" i="2"/>
  <c r="J543" i="2"/>
  <c r="G543" i="2"/>
  <c r="BA542" i="2" a="1"/>
  <c r="BA542" i="2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/>
  <c r="G532" i="2" s="1"/>
  <c r="V532" i="2"/>
  <c r="J532" i="2"/>
  <c r="BA531" i="2" a="1"/>
  <c r="BA531" i="2" s="1"/>
  <c r="V531" i="2"/>
  <c r="J531" i="2"/>
  <c r="G531" i="2"/>
  <c r="BA530" i="2" a="1"/>
  <c r="BA530" i="2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/>
  <c r="G524" i="2" s="1"/>
  <c r="V524" i="2"/>
  <c r="J524" i="2"/>
  <c r="BA523" i="2" a="1"/>
  <c r="BA523" i="2" s="1"/>
  <c r="V523" i="2"/>
  <c r="J523" i="2"/>
  <c r="G523" i="2"/>
  <c r="BA522" i="2" a="1"/>
  <c r="BA522" i="2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 s="1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/>
  <c r="G507" i="2" s="1"/>
  <c r="V507" i="2"/>
  <c r="J507" i="2"/>
  <c r="BA506" i="2" a="1"/>
  <c r="BA506" i="2" s="1"/>
  <c r="V506" i="2"/>
  <c r="J506" i="2"/>
  <c r="G506" i="2"/>
  <c r="BA505" i="2" a="1"/>
  <c r="BA505" i="2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 s="1"/>
  <c r="V498" i="2"/>
  <c r="J498" i="2"/>
  <c r="G498" i="2"/>
  <c r="BA497" i="2" a="1"/>
  <c r="BA497" i="2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/>
  <c r="G487" i="2" s="1"/>
  <c r="V487" i="2"/>
  <c r="J487" i="2"/>
  <c r="BA486" i="2" a="1"/>
  <c r="BA486" i="2" s="1"/>
  <c r="V486" i="2"/>
  <c r="J486" i="2"/>
  <c r="G486" i="2"/>
  <c r="BA485" i="2" a="1"/>
  <c r="BA485" i="2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/>
  <c r="G475" i="2" s="1"/>
  <c r="V475" i="2"/>
  <c r="J475" i="2"/>
  <c r="BA474" i="2" a="1"/>
  <c r="BA474" i="2" s="1"/>
  <c r="V474" i="2"/>
  <c r="J474" i="2"/>
  <c r="G474" i="2"/>
  <c r="BA473" i="2" a="1"/>
  <c r="BA473" i="2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/>
  <c r="G467" i="2" s="1"/>
  <c r="V467" i="2"/>
  <c r="J467" i="2"/>
  <c r="BA466" i="2" a="1"/>
  <c r="BA466" i="2" s="1"/>
  <c r="V466" i="2"/>
  <c r="J466" i="2"/>
  <c r="G466" i="2"/>
  <c r="BA465" i="2" a="1"/>
  <c r="BA465" i="2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V410" i="2"/>
  <c r="J410" i="2"/>
  <c r="G410" i="2"/>
  <c r="BA409" i="2" a="1"/>
  <c r="BA409" i="2"/>
  <c r="G409" i="2" s="1"/>
  <c r="V409" i="2"/>
  <c r="J409" i="2"/>
  <c r="BA408" i="2" a="1"/>
  <c r="BA408" i="2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V398" i="2"/>
  <c r="J398" i="2"/>
  <c r="G398" i="2"/>
  <c r="BA397" i="2" a="1"/>
  <c r="BA397" i="2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V394" i="2"/>
  <c r="J394" i="2"/>
  <c r="G394" i="2"/>
  <c r="BA393" i="2" a="1"/>
  <c r="BA393" i="2"/>
  <c r="G393" i="2" s="1"/>
  <c r="V393" i="2"/>
  <c r="J393" i="2"/>
  <c r="BA392" i="2" a="1"/>
  <c r="BA392" i="2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V382" i="2"/>
  <c r="J382" i="2"/>
  <c r="G382" i="2"/>
  <c r="BA381" i="2" a="1"/>
  <c r="BA381" i="2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 s="1"/>
  <c r="G302" i="2" s="1"/>
  <c r="V302" i="2"/>
  <c r="J302" i="2"/>
  <c r="BA301" i="2" a="1"/>
  <c r="BA301" i="2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 s="1"/>
  <c r="G225" i="2" s="1"/>
  <c r="V225" i="2"/>
  <c r="J225" i="2"/>
  <c r="BA224" i="2" a="1"/>
  <c r="BA224" i="2" s="1"/>
  <c r="G224" i="2" s="1"/>
  <c r="V224" i="2"/>
  <c r="J224" i="2"/>
  <c r="BA223" i="2" a="1"/>
  <c r="BA223" i="2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I453" i="10" l="1"/>
  <c r="F27" i="13"/>
  <c r="BA867" i="2"/>
  <c r="K3" i="13" s="1"/>
  <c r="K8" i="13" s="1"/>
  <c r="G3" i="2"/>
  <c r="CJ397" i="3"/>
  <c r="K5" i="13" s="1"/>
  <c r="G3" i="3"/>
  <c r="L28" i="14"/>
  <c r="L27" i="14"/>
  <c r="L19" i="14"/>
  <c r="L22" i="14"/>
  <c r="L23" i="14"/>
  <c r="L21" i="14"/>
  <c r="I15" i="13"/>
  <c r="O14" i="14"/>
  <c r="N21" i="14"/>
  <c r="L26" i="14"/>
  <c r="J15" i="13"/>
  <c r="L4" i="14"/>
  <c r="L5" i="14" s="1"/>
  <c r="L20" i="14"/>
  <c r="L24" i="14"/>
  <c r="L25" i="14"/>
  <c r="N19" i="14"/>
  <c r="O28" i="14"/>
  <c r="M27" i="14"/>
  <c r="N28" i="14"/>
  <c r="O20" i="14"/>
  <c r="N20" i="14"/>
  <c r="P8" i="14"/>
  <c r="M9" i="14"/>
  <c r="K11" i="14"/>
  <c r="P12" i="14"/>
  <c r="M13" i="14"/>
  <c r="O18" i="14"/>
  <c r="O21" i="14"/>
  <c r="O23" i="14"/>
  <c r="O25" i="14"/>
  <c r="G120" i="14"/>
  <c r="M8" i="14"/>
  <c r="K10" i="14"/>
  <c r="P11" i="14"/>
  <c r="M12" i="14"/>
  <c r="K14" i="14"/>
  <c r="L18" i="14"/>
  <c r="P18" i="14"/>
  <c r="K9" i="14"/>
  <c r="P10" i="14"/>
  <c r="M11" i="14"/>
  <c r="K13" i="14"/>
  <c r="M3" i="14"/>
  <c r="K8" i="14"/>
  <c r="P9" i="14"/>
  <c r="M10" i="14"/>
  <c r="K12" i="14"/>
  <c r="P13" i="14"/>
  <c r="K15" i="14" l="1"/>
  <c r="L15" i="14" s="1"/>
  <c r="L8" i="14"/>
  <c r="L14" i="14"/>
  <c r="L11" i="14"/>
  <c r="L12" i="14"/>
  <c r="M5" i="14"/>
  <c r="N4" i="14" s="1"/>
  <c r="O3" i="14"/>
  <c r="N3" i="14"/>
  <c r="N5" i="14" s="1"/>
  <c r="L9" i="14"/>
  <c r="O12" i="14"/>
  <c r="N12" i="14"/>
  <c r="O9" i="14"/>
  <c r="L13" i="14"/>
  <c r="O13" i="14"/>
  <c r="N13" i="14"/>
  <c r="P15" i="14"/>
  <c r="O27" i="14"/>
  <c r="N27" i="14"/>
  <c r="O8" i="14"/>
  <c r="M15" i="14"/>
  <c r="O10" i="14"/>
  <c r="N10" i="14"/>
  <c r="O11" i="14"/>
  <c r="L10" i="14"/>
  <c r="O15" i="14" l="1"/>
  <c r="N15" i="14"/>
  <c r="N14" i="14"/>
  <c r="N11" i="14"/>
  <c r="N8" i="14"/>
  <c r="N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<sst xmlns="http://schemas.openxmlformats.org/spreadsheetml/2006/main" count="40694" uniqueCount="6874">
  <si>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</si>
  <si>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</si>
  <si>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</si>
  <si>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</si>
  <si>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</si>
  <si>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</si>
  <si>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</si>
  <si>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</si>
  <si>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</si>
  <si>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</si>
  <si>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</si>
  <si>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</si>
  <si>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</si>
  <si>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</si>
  <si>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</si>
  <si>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</si>
  <si>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</si>
  <si>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</si>
  <si>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</si>
  <si>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</si>
  <si>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</si>
  <si>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</si>
  <si>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</si>
  <si>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</si>
  <si>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</si>
  <si>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</si>
  <si>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</si>
  <si>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</si>
  <si>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</si>
  <si>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</si>
  <si>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</si>
  <si>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</si>
  <si>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</si>
  <si>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</si>
  <si>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</si>
  <si>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</si>
  <si>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</si>
  <si>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</si>
  <si>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</si>
  <si>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</si>
  <si>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</si>
  <si>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</si>
  <si>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</si>
  <si>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</si>
  <si>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</si>
  <si>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</si>
  <si>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</si>
  <si>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</si>
  <si>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</si>
  <si>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</si>
  <si>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</si>
  <si>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</si>
  <si>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</si>
  <si>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</si>
  <si>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</si>
  <si>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</si>
  <si>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</si>
  <si>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</si>
  <si>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</si>
  <si>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Andrea Coscarelli Lodi Bueno</t>
  </si>
  <si>
    <t>008017174</t>
  </si>
  <si>
    <t>Pendente assinaturas</t>
  </si>
  <si>
    <t>Rodrigo Coscarelli Lodi</t>
  </si>
  <si>
    <t>008017019</t>
  </si>
  <si>
    <t>Larissa Stefani Santos</t>
  </si>
  <si>
    <t>xxxxxxx</t>
  </si>
  <si>
    <t>GO</t>
  </si>
  <si>
    <t>Felipe Rios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</si>
  <si>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</si>
  <si>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</si>
  <si>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</si>
  <si>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</si>
  <si>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</si>
  <si>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</si>
  <si>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</si>
  <si>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</si>
  <si>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</si>
  <si>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</si>
  <si>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</si>
  <si>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</si>
  <si>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</si>
  <si>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</si>
  <si>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</si>
  <si>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</si>
  <si>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</si>
  <si>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</si>
  <si>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</si>
  <si>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</si>
  <si>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</si>
  <si>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</si>
  <si>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</si>
  <si>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</si>
  <si>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</si>
  <si>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</si>
  <si>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</si>
  <si>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</si>
  <si>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</si>
  <si>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</si>
  <si>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</si>
  <si>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</si>
  <si>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</si>
  <si>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</si>
  <si>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</si>
  <si>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</si>
  <si>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</si>
  <si>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</si>
  <si>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</si>
  <si>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</si>
  <si>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</si>
  <si>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</si>
  <si>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</si>
  <si>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</si>
  <si>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</si>
  <si>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</si>
  <si>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</si>
  <si>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</si>
  <si>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</si>
  <si>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</si>
  <si>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</si>
  <si>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</si>
  <si>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</si>
  <si>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</si>
  <si>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</si>
  <si>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</si>
  <si>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</si>
  <si>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</si>
  <si>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</si>
  <si>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</si>
  <si>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</si>
  <si>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</si>
  <si>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</si>
  <si>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</si>
  <si>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</si>
  <si>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</si>
  <si>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</si>
  <si>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</si>
  <si>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</si>
  <si>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</si>
  <si>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</si>
  <si>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</si>
  <si>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</si>
  <si>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</si>
  <si>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</si>
  <si>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</si>
  <si>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</si>
  <si>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</si>
  <si>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</si>
  <si>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</si>
  <si>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</si>
  <si>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</si>
  <si>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</si>
  <si>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</si>
  <si>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</si>
  <si>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</si>
  <si>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</si>
  <si>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</si>
  <si>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</si>
  <si>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</si>
  <si>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</si>
  <si>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</si>
  <si>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</si>
  <si>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</si>
  <si>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</si>
  <si>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</si>
  <si>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</si>
  <si>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</si>
  <si>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</si>
  <si>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</si>
  <si>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</si>
  <si>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</si>
  <si>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</si>
  <si>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</si>
  <si>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</si>
  <si>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</si>
  <si>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</si>
  <si>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</si>
  <si>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</si>
  <si>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</si>
  <si>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</si>
  <si>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</si>
  <si>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</si>
  <si>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</si>
  <si>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</si>
  <si>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</si>
  <si>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</si>
  <si>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</si>
  <si>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</si>
  <si>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</si>
  <si>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</si>
  <si>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</si>
  <si>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</si>
  <si>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</si>
  <si>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</si>
  <si>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</si>
  <si>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</si>
  <si>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</si>
  <si>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</si>
  <si>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</si>
  <si>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</si>
  <si>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</si>
  <si>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</si>
  <si>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</si>
  <si>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</si>
  <si>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</si>
  <si>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</si>
  <si>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</si>
  <si>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</si>
  <si>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</si>
  <si>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</si>
  <si>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</si>
  <si>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</si>
  <si>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</si>
  <si>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</si>
  <si>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</si>
  <si>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</si>
  <si>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</si>
  <si>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</si>
  <si>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</si>
  <si>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</si>
  <si>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</si>
  <si>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</si>
  <si>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</si>
  <si>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</si>
  <si>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</si>
  <si>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</si>
  <si>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</si>
  <si>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</si>
  <si>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</si>
  <si>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</si>
  <si>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</si>
  <si>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</si>
  <si>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</si>
  <si>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</si>
  <si>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</si>
  <si>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</si>
  <si>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</si>
  <si>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</si>
  <si>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</si>
  <si>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</si>
  <si>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</si>
  <si>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</si>
  <si>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</si>
  <si>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</si>
  <si>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</si>
  <si>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</si>
  <si>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</si>
  <si>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</si>
  <si>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</si>
  <si>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</si>
  <si>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</si>
  <si>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</si>
  <si>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</si>
  <si>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</si>
  <si>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</si>
  <si>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</si>
  <si>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</si>
  <si>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</si>
  <si>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</si>
  <si>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</si>
  <si>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</si>
  <si>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</si>
  <si>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</si>
  <si>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</si>
  <si>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</si>
  <si>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</si>
  <si>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</si>
  <si>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</si>
  <si>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</si>
  <si>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</si>
  <si>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</si>
  <si>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</si>
  <si>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</si>
  <si>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</si>
  <si>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</si>
  <si>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</si>
  <si>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</si>
  <si>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</si>
  <si>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</si>
  <si>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</si>
  <si>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</si>
  <si>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</si>
  <si>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</si>
  <si>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</si>
  <si>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</si>
  <si>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</si>
  <si>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</si>
  <si>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</si>
  <si>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</si>
  <si>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</si>
  <si>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</si>
  <si>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</si>
  <si>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</si>
  <si>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</si>
  <si>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</si>
  <si>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</si>
  <si>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</si>
  <si>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</si>
  <si>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</si>
  <si>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</si>
  <si>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</si>
  <si>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</si>
  <si>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</si>
  <si>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</si>
  <si>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</si>
  <si>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</si>
  <si>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</si>
  <si>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</si>
  <si>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</si>
  <si>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</si>
  <si>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</si>
  <si>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</si>
  <si>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</si>
  <si>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</si>
  <si>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</si>
  <si>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</si>
  <si>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</si>
  <si>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</si>
  <si>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</si>
  <si>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</si>
  <si>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</si>
  <si>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</si>
  <si>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</si>
  <si>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</si>
  <si>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</si>
  <si>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</si>
  <si>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</si>
  <si>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</si>
  <si>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</si>
  <si>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</si>
  <si>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</si>
  <si>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</si>
  <si>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</si>
  <si>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</si>
  <si>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</si>
  <si>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</si>
  <si>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</si>
  <si>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</si>
  <si>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</si>
  <si>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</si>
  <si>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</si>
  <si>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</si>
  <si>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</si>
  <si>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</si>
  <si>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</si>
  <si>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</si>
  <si>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</si>
  <si>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</si>
  <si>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</si>
  <si>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</si>
  <si>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</si>
  <si>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</si>
  <si>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</si>
  <si>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</si>
  <si>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</si>
  <si>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</si>
  <si>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</si>
  <si>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</si>
  <si>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</si>
  <si>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</si>
  <si>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</si>
  <si>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</si>
  <si>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</si>
  <si>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</si>
  <si>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</si>
  <si>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</si>
  <si>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</si>
  <si>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</si>
  <si>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</si>
  <si>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</si>
  <si>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</si>
  <si>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</si>
  <si>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</si>
  <si>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</si>
  <si>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</si>
  <si>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</si>
  <si>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</si>
  <si>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</si>
  <si>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</si>
  <si>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</si>
  <si>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</si>
  <si>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</si>
  <si>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</si>
  <si>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</si>
  <si>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</si>
  <si>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</si>
  <si>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</si>
  <si>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</si>
  <si>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</si>
  <si>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</si>
  <si>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</si>
  <si>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</si>
  <si>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</si>
  <si>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</si>
  <si>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</si>
  <si>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</si>
  <si>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</si>
  <si>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</si>
  <si>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</si>
  <si>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</si>
  <si>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</si>
  <si>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</si>
  <si>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</si>
  <si>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</si>
  <si>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</si>
  <si>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</si>
  <si>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</si>
  <si>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</si>
  <si>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</si>
  <si>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</si>
  <si>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</si>
  <si>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</si>
  <si>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</si>
  <si>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</si>
  <si>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</si>
  <si>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</si>
  <si>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</si>
  <si>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</si>
  <si>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</si>
  <si>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</si>
  <si>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</si>
  <si>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</si>
  <si>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</si>
  <si>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</si>
  <si>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</si>
  <si>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</si>
  <si>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</si>
  <si>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</si>
  <si>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</si>
  <si>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</si>
  <si>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</si>
  <si>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</si>
  <si>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</si>
  <si>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</si>
  <si>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</si>
  <si>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</si>
  <si>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</si>
  <si>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</si>
  <si>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</si>
  <si>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</si>
  <si>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</si>
  <si>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</si>
  <si>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</si>
  <si>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</si>
  <si>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</si>
  <si>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</si>
  <si>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</si>
  <si>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</si>
  <si>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</si>
  <si>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</si>
  <si>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</si>
  <si>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</si>
  <si>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</si>
  <si>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</si>
  <si>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</si>
  <si>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</si>
  <si>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</si>
  <si>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</si>
  <si>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</si>
  <si>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</si>
  <si>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</si>
  <si>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</si>
  <si>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</si>
  <si>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</si>
  <si>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</si>
  <si>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</si>
  <si>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</si>
  <si>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</si>
  <si>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</si>
  <si>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</si>
  <si>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</si>
  <si>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</si>
  <si>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</si>
  <si>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</si>
  <si>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</si>
  <si>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</si>
  <si>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</si>
  <si>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</si>
  <si>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</si>
  <si>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</si>
  <si>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</si>
  <si>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</si>
  <si>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</si>
  <si>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</si>
  <si>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</si>
  <si>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</si>
  <si>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</si>
  <si>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</si>
  <si>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</si>
  <si>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</si>
  <si>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</si>
  <si>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</si>
  <si>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</si>
  <si>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</si>
  <si>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</si>
  <si>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</si>
  <si>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</si>
  <si>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</si>
  <si>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</si>
  <si>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</si>
  <si>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</si>
  <si>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</si>
  <si>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</si>
  <si>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</si>
  <si>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</si>
  <si>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</si>
  <si>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</si>
  <si>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</si>
  <si>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</si>
  <si>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</si>
  <si>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</si>
  <si>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</si>
  <si>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</si>
  <si>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</si>
  <si>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</si>
  <si>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</si>
  <si>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</si>
  <si>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</si>
  <si>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</si>
  <si>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</si>
  <si>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</si>
  <si>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</si>
  <si>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</si>
  <si>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</si>
  <si>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</si>
  <si>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</si>
  <si>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</si>
  <si>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</si>
  <si>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</si>
  <si>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</si>
  <si>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</si>
  <si>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</si>
  <si>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</si>
  <si>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</si>
  <si>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</si>
  <si>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</si>
  <si>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</si>
  <si>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</si>
  <si>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</si>
  <si>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</si>
  <si>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</si>
  <si>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</si>
  <si>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</si>
  <si>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</si>
  <si>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</si>
  <si>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</si>
  <si>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</si>
  <si>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</si>
  <si>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</si>
  <si>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</si>
  <si>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</si>
  <si>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</si>
  <si>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</si>
  <si>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</si>
  <si>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</si>
  <si>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</si>
  <si>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</si>
  <si>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</si>
  <si>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</si>
  <si>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</si>
  <si>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</si>
  <si>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</si>
  <si>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</si>
  <si>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</si>
  <si>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</si>
  <si>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</si>
  <si>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</si>
  <si>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</si>
  <si>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</si>
  <si>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</si>
  <si>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</si>
  <si>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</si>
  <si>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</si>
  <si>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</si>
  <si>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</si>
  <si>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</si>
  <si>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</si>
  <si>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</si>
  <si>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</si>
  <si>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</si>
  <si>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</si>
  <si>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</si>
  <si>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</si>
  <si>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</si>
  <si>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</si>
  <si>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</si>
  <si>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</si>
  <si>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</si>
  <si>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</si>
  <si>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</si>
  <si>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</si>
  <si>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</si>
  <si>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</si>
  <si>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</si>
  <si>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</si>
  <si>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</si>
  <si>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</si>
  <si>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</si>
  <si>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</si>
  <si>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</si>
  <si>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</si>
  <si>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</si>
  <si>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</si>
  <si>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</si>
  <si>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</si>
  <si>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</si>
  <si>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</si>
  <si>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</si>
  <si>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</si>
  <si>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</si>
  <si>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</si>
  <si>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</si>
  <si>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</si>
  <si>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</si>
  <si>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</si>
  <si>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</si>
  <si>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</si>
  <si>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</si>
  <si>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</si>
  <si>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</si>
  <si>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</si>
  <si>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</si>
  <si>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</si>
  <si>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</si>
  <si>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</si>
  <si>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</si>
  <si>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</si>
  <si>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</si>
  <si>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</si>
  <si>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</si>
  <si>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</si>
  <si>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</si>
  <si>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</si>
  <si>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</si>
  <si>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</si>
  <si>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</si>
  <si>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</si>
  <si>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</si>
  <si>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</si>
  <si>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</si>
  <si>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</si>
  <si>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</si>
  <si>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</si>
  <si>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</si>
  <si>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</si>
  <si>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</si>
  <si>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</si>
  <si>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</si>
  <si>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</si>
  <si>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</si>
  <si>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</si>
  <si>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</si>
  <si>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</si>
  <si>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</si>
  <si>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</si>
  <si>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</si>
  <si>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</si>
  <si>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</si>
  <si>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</si>
  <si>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</si>
  <si>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</si>
  <si>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</si>
  <si>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</si>
  <si>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</si>
  <si>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</si>
  <si>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</si>
  <si>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</si>
  <si>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</si>
  <si>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</si>
  <si>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</si>
  <si>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</si>
  <si>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</si>
  <si>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</si>
  <si>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</si>
  <si>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</si>
  <si>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</si>
  <si>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</si>
  <si>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</si>
  <si>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</si>
  <si>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</si>
  <si>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</si>
  <si>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</si>
  <si>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</si>
  <si>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</si>
  <si>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</si>
  <si>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</si>
  <si>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</si>
  <si>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</si>
  <si>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</si>
  <si>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</si>
  <si>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</si>
  <si>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</si>
  <si>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</si>
  <si>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</si>
  <si>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</si>
  <si>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</si>
  <si>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</si>
  <si>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</si>
  <si>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</si>
  <si>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</si>
  <si>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</si>
  <si>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</si>
  <si>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</si>
  <si>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</si>
  <si>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</si>
  <si>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</si>
  <si>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</si>
  <si>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</si>
  <si>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</si>
  <si>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</si>
  <si>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</si>
  <si>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</si>
  <si>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</si>
  <si>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</si>
  <si>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</si>
  <si>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</si>
  <si>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</si>
  <si>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</si>
  <si>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</si>
  <si>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</si>
  <si>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</si>
  <si>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</si>
  <si>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</si>
  <si>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</si>
  <si>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</si>
  <si>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</si>
  <si>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</si>
  <si>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</si>
  <si>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</si>
  <si>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</si>
  <si>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</si>
  <si>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</si>
  <si>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</si>
  <si>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</si>
  <si>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</si>
  <si>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</si>
  <si>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</si>
  <si>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</si>
  <si>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</si>
  <si>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</si>
  <si>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</si>
  <si>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</si>
  <si>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</si>
  <si>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</si>
  <si>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</si>
  <si>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</si>
  <si>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</si>
  <si>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</si>
  <si>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</si>
  <si>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</si>
  <si>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</si>
  <si>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</si>
  <si>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</si>
  <si>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</si>
  <si>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</si>
  <si>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</si>
  <si>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</si>
  <si>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</si>
  <si>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</si>
  <si>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</si>
  <si>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</si>
  <si>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</si>
  <si>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</si>
  <si>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</si>
  <si>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</si>
  <si>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</si>
  <si>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</si>
  <si>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</si>
  <si>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</si>
  <si>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</si>
  <si>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</si>
  <si>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</si>
  <si>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</si>
  <si>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</si>
  <si>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</si>
  <si>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</si>
  <si>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</si>
  <si>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</si>
  <si>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</si>
  <si>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</si>
  <si>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</si>
  <si>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</si>
  <si>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</si>
  <si>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</si>
  <si>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</si>
  <si>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</si>
  <si>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</si>
  <si>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</si>
  <si>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</si>
  <si>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</si>
  <si>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</si>
  <si>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</si>
  <si>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</si>
  <si>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</si>
  <si>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</si>
  <si>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</si>
  <si>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</si>
  <si>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</si>
  <si>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</si>
  <si>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</si>
  <si>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</si>
  <si>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</si>
  <si>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</si>
  <si>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</si>
  <si>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</si>
  <si>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</si>
  <si>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</si>
  <si>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</si>
  <si>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</si>
  <si>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</si>
  <si>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</si>
  <si>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</si>
  <si>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</si>
  <si>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</si>
  <si>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</si>
  <si>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</si>
  <si>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</si>
  <si>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</si>
  <si>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</si>
  <si>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</si>
  <si>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</si>
  <si>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</si>
  <si>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</si>
  <si>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</si>
  <si>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</si>
  <si>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</si>
  <si>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</si>
  <si>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</si>
  <si>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</si>
  <si>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</si>
  <si>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</si>
  <si>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</si>
  <si>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</si>
  <si>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</si>
  <si>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</si>
  <si>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</si>
  <si>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</si>
  <si>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</si>
  <si>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</si>
  <si>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</si>
  <si>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</si>
  <si>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</si>
  <si>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</si>
  <si>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</si>
  <si>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</si>
  <si>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</si>
  <si>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</si>
  <si>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</si>
  <si>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</si>
  <si>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</si>
  <si>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</si>
  <si>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</si>
  <si>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</si>
  <si>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</si>
  <si>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</si>
  <si>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</si>
  <si>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</si>
  <si>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</si>
  <si>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</si>
  <si>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</si>
  <si>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</si>
  <si>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</si>
  <si>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</si>
  <si>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</si>
  <si>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</si>
  <si>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</si>
  <si>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</si>
  <si>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</si>
  <si>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</si>
  <si>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</si>
  <si>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</si>
  <si>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</si>
  <si>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</si>
  <si>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</si>
  <si>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</si>
  <si>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</si>
  <si>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</si>
  <si>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</si>
  <si>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</si>
  <si>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</si>
  <si>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</si>
  <si>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</si>
  <si>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</si>
  <si>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</si>
  <si>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</si>
  <si>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</si>
  <si>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</si>
  <si>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</si>
  <si>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</si>
  <si>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</si>
  <si>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</si>
  <si>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</si>
  <si>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</si>
  <si>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</si>
  <si>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</si>
  <si>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</si>
  <si>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</si>
  <si>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</si>
  <si>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</si>
  <si>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</si>
  <si>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</si>
  <si>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</si>
  <si>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</si>
  <si>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</si>
  <si>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</si>
  <si>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</si>
  <si>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</si>
  <si>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</si>
  <si>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</si>
  <si>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</si>
  <si>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</si>
  <si>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</si>
  <si>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</si>
  <si>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</si>
  <si>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</si>
  <si>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</si>
  <si>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</si>
  <si>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</si>
  <si>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</si>
  <si>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</si>
  <si>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</si>
  <si>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</si>
  <si>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</si>
  <si>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</si>
  <si>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</si>
  <si>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</si>
  <si>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</si>
  <si>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</si>
  <si>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</si>
  <si>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</si>
  <si>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</si>
  <si>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</si>
  <si>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</si>
  <si>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</si>
  <si>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</si>
  <si>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</si>
  <si>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</si>
  <si>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</si>
  <si>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</si>
  <si>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</si>
  <si>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</si>
  <si>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</si>
  <si>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</si>
  <si>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</si>
  <si>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</si>
  <si>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</si>
  <si>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</si>
  <si>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</si>
  <si>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</si>
  <si>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</si>
  <si>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</si>
  <si>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</si>
  <si>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</si>
  <si>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</si>
  <si>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</si>
  <si>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</si>
  <si>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</si>
  <si>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Distrato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</si>
  <si>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</si>
  <si>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</si>
  <si>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</si>
  <si>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</si>
  <si>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</si>
  <si>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</si>
  <si>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</si>
  <si>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</si>
  <si>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</si>
  <si>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</si>
  <si>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</si>
  <si>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</si>
  <si>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</si>
  <si>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</si>
  <si>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</si>
  <si>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</si>
  <si>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</si>
  <si>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</si>
  <si>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</si>
  <si>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</si>
  <si>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</si>
  <si>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</si>
  <si>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</si>
  <si>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</si>
  <si>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</si>
  <si>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</si>
  <si>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</si>
  <si>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</si>
  <si>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</si>
  <si>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</si>
  <si>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</si>
  <si>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</si>
  <si>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</si>
  <si>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</si>
  <si>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</si>
  <si>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</si>
  <si>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</si>
  <si>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</si>
  <si>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</si>
  <si>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</si>
  <si>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</si>
  <si>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</si>
  <si>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</si>
  <si>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</si>
  <si>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</si>
  <si>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</si>
  <si>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</si>
  <si>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</si>
  <si>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</si>
  <si>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</si>
  <si>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</si>
  <si>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</si>
  <si>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</si>
  <si>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</si>
  <si>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</si>
  <si>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</si>
  <si>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</si>
  <si>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</si>
  <si>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</si>
  <si>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</si>
  <si>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</si>
  <si>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</si>
  <si>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</si>
  <si>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</si>
  <si>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</si>
  <si>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</si>
  <si>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</si>
  <si>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</si>
  <si>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</si>
  <si>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</si>
  <si>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</si>
  <si>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</si>
  <si>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</si>
  <si>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</si>
  <si>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</si>
  <si>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</si>
  <si>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</si>
  <si>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</si>
  <si>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</si>
  <si>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</si>
  <si>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</si>
  <si>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</si>
  <si>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</si>
  <si>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</si>
  <si>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</si>
  <si>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</si>
  <si>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</si>
  <si>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</si>
  <si>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</si>
  <si>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</si>
  <si>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</si>
  <si>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</si>
  <si>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</si>
  <si>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</si>
  <si>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</si>
  <si>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</si>
  <si>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</si>
  <si>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</si>
  <si>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</si>
  <si>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</si>
  <si>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</si>
  <si>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</si>
  <si>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</si>
  <si>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</si>
  <si>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</si>
  <si>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</si>
  <si>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</si>
  <si>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</si>
  <si>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</si>
  <si>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</si>
  <si>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</si>
  <si>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</si>
  <si>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</si>
  <si>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</si>
  <si>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</si>
  <si>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</si>
  <si>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</si>
  <si>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</si>
  <si>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</si>
  <si>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</si>
  <si>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</si>
  <si>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</si>
  <si>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</si>
  <si>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</si>
  <si>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</si>
  <si>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</si>
  <si>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</si>
  <si>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</si>
  <si>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</si>
  <si>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</si>
  <si>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</si>
  <si>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</si>
  <si>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</si>
  <si>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</si>
  <si>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</si>
  <si>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</si>
  <si>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</si>
  <si>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</si>
  <si>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</si>
  <si>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</si>
  <si>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</si>
  <si>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</si>
  <si>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</si>
  <si>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</si>
  <si>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</si>
  <si>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</si>
  <si>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</si>
  <si>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</si>
  <si>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</si>
  <si>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</si>
  <si>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</si>
  <si>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</si>
  <si>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</si>
  <si>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</si>
  <si>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</si>
  <si>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</si>
  <si>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</si>
  <si>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</si>
  <si>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</si>
  <si>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</si>
  <si>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</si>
  <si>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</si>
  <si>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</si>
  <si>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</si>
  <si>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</si>
  <si>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</si>
  <si>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</si>
  <si>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</si>
  <si>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</si>
  <si>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</si>
  <si>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</si>
  <si>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</si>
  <si>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</si>
  <si>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</si>
  <si>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</si>
  <si>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</si>
  <si>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</si>
  <si>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</si>
  <si>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</si>
  <si>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</si>
  <si>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</si>
  <si>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</si>
  <si>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</si>
  <si>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</si>
  <si>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</si>
  <si>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</si>
  <si>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</si>
  <si>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</si>
  <si>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</si>
  <si>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</si>
  <si>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</si>
  <si>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</si>
  <si>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</si>
  <si>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</si>
  <si>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</si>
  <si>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</si>
  <si>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</si>
  <si>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</si>
  <si>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</si>
  <si>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</si>
  <si>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</si>
  <si>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</si>
  <si>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</si>
  <si>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</si>
  <si>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</si>
  <si>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</si>
  <si>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</si>
  <si>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</si>
  <si>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</si>
  <si>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</si>
  <si>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</si>
  <si>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</si>
  <si>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</si>
  <si>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</si>
  <si>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</si>
  <si>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</si>
  <si>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</si>
  <si>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</si>
  <si>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</si>
  <si>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</si>
  <si>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</si>
  <si>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</si>
  <si>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</si>
  <si>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</si>
  <si>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</si>
  <si>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</si>
  <si>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</si>
  <si>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</si>
  <si>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</si>
  <si>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</si>
  <si>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</si>
  <si>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</si>
  <si>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</si>
  <si>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</si>
  <si>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</si>
  <si>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</si>
  <si>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</si>
  <si>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</si>
  <si>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</si>
  <si>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</si>
  <si>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</si>
  <si>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</si>
  <si>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</si>
  <si>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</si>
  <si>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</si>
  <si>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</si>
  <si>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</si>
  <si>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</si>
  <si>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</si>
  <si>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</si>
  <si>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</si>
  <si>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</si>
  <si>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</si>
  <si>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</si>
  <si>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</si>
  <si>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</si>
  <si>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</si>
  <si>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</si>
  <si>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</si>
  <si>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</si>
  <si>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</si>
  <si>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</si>
  <si>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</si>
  <si>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</si>
  <si>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</si>
  <si>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</si>
  <si>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</si>
  <si>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</si>
  <si>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</si>
  <si>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</si>
  <si>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</si>
  <si>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</si>
  <si>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</si>
  <si>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</si>
  <si>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</si>
  <si>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</si>
  <si>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</si>
  <si>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</si>
  <si>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</si>
  <si>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</si>
  <si>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</si>
  <si>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</si>
  <si>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</si>
  <si>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</si>
  <si>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</si>
  <si>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</si>
  <si>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</si>
  <si>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</si>
  <si>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</si>
  <si>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</si>
  <si>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</si>
  <si>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</si>
  <si>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</si>
  <si>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</si>
  <si>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Vender ações com ágio (22/10/2024)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</si>
  <si>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</si>
  <si>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</si>
  <si>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</si>
  <si>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</si>
  <si>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</si>
  <si>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</si>
  <si>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</si>
  <si>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</si>
  <si>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</si>
  <si>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</si>
  <si>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</si>
  <si>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</si>
  <si>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</si>
  <si>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</si>
  <si>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</si>
  <si>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</si>
  <si>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</si>
  <si>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</si>
  <si>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</si>
  <si>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</si>
  <si>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</si>
  <si>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</si>
  <si>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</si>
  <si>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</si>
  <si>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</si>
  <si>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</si>
  <si>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</si>
  <si>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</si>
  <si>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</si>
  <si>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</si>
  <si>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</si>
  <si>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</si>
  <si>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</si>
  <si>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</si>
  <si>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</si>
  <si>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</si>
  <si>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</si>
  <si>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</si>
  <si>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</si>
  <si>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</si>
  <si>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</si>
  <si>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</si>
  <si>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</si>
  <si>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</si>
  <si>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</si>
  <si>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</si>
  <si>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</si>
  <si>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</si>
  <si>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</si>
  <si>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</si>
  <si>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</si>
  <si>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</si>
  <si>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</si>
  <si>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</si>
  <si>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</si>
  <si>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</si>
  <si>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</si>
  <si>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</si>
  <si>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</si>
  <si>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</si>
  <si>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</si>
  <si>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</si>
  <si>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</si>
  <si>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</si>
  <si>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</si>
  <si>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</si>
  <si>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</si>
  <si>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</si>
  <si>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</si>
  <si>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</si>
  <si>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</si>
  <si>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</si>
  <si>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</si>
  <si>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</si>
  <si>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</si>
  <si>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</si>
  <si>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</si>
  <si>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</si>
  <si>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</si>
  <si>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</si>
  <si>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</si>
  <si>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</si>
  <si>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</si>
  <si>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</si>
  <si>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</si>
  <si>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</si>
  <si>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</si>
  <si>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</si>
  <si>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</si>
  <si>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</si>
  <si>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</si>
  <si>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</si>
  <si>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</si>
  <si>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</si>
  <si>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</si>
  <si>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</si>
  <si>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</si>
  <si>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</si>
  <si>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</si>
  <si>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</si>
  <si>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</si>
  <si>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</si>
  <si>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</si>
  <si>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</si>
  <si>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</si>
  <si>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</si>
  <si>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</si>
  <si>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</si>
  <si>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</si>
  <si>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</si>
  <si>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</si>
  <si>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</si>
  <si>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</si>
  <si>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</si>
  <si>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</si>
  <si>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</si>
  <si>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</si>
  <si>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</si>
  <si>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</si>
  <si>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</si>
  <si>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</si>
  <si>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</si>
  <si>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</si>
  <si>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</si>
  <si>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</si>
  <si>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</si>
  <si>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</si>
  <si>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</si>
  <si>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</si>
  <si>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</si>
  <si>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</si>
  <si>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</si>
  <si>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</si>
  <si>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</si>
  <si>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</si>
  <si>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</si>
  <si>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</si>
  <si>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</si>
  <si>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</si>
  <si>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</si>
  <si>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</si>
  <si>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</si>
  <si>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</si>
  <si>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</si>
  <si>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</si>
  <si>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</si>
  <si>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</si>
  <si>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</si>
  <si>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</si>
  <si>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</si>
  <si>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</si>
  <si>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</si>
  <si>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</si>
  <si>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</si>
  <si>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</si>
  <si>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</si>
  <si>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</si>
  <si>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</si>
  <si>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</si>
  <si>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</si>
  <si>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</si>
  <si>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</si>
  <si>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</si>
  <si>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</si>
  <si>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</si>
  <si>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</si>
  <si>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</si>
  <si>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</si>
  <si>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</si>
  <si>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</si>
  <si>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</si>
  <si>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</si>
  <si>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</si>
  <si>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</si>
  <si>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</si>
  <si>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</si>
  <si>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</si>
  <si>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</si>
  <si>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</si>
  <si>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</si>
  <si>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</si>
  <si>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</si>
  <si>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</si>
  <si>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</si>
  <si>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</si>
  <si>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</si>
  <si>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</si>
  <si>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</si>
  <si>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</si>
  <si>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</si>
  <si>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</si>
  <si>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</si>
  <si>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</si>
  <si>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</si>
  <si>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</si>
  <si>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</si>
  <si>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</si>
  <si>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</si>
  <si>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</si>
  <si>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</si>
  <si>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</si>
  <si>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</si>
  <si>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</si>
  <si>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</si>
  <si>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</si>
  <si>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</si>
  <si>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</si>
  <si>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</si>
  <si>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</si>
  <si>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</si>
  <si>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</si>
  <si>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</si>
  <si>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</si>
  <si>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</si>
  <si>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</si>
  <si>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</si>
  <si>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</si>
  <si>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</si>
  <si>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</si>
  <si>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</si>
  <si>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</si>
  <si>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</si>
  <si>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</si>
  <si>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</si>
  <si>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</si>
  <si>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</si>
  <si>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</si>
  <si>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</si>
  <si>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</si>
  <si>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</si>
  <si>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</si>
  <si>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</si>
  <si>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</si>
  <si>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</si>
  <si>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</si>
  <si>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</si>
  <si>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</si>
  <si>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</si>
  <si>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</si>
  <si>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</si>
  <si>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</si>
  <si>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</si>
  <si>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</si>
  <si>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</si>
  <si>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</si>
  <si>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</si>
  <si>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</si>
  <si>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</si>
  <si>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</si>
  <si>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</si>
  <si>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</si>
  <si>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</si>
  <si>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</si>
  <si>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</si>
  <si>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</si>
  <si>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</si>
  <si>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</si>
  <si>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</si>
  <si>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</si>
  <si>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</si>
  <si>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</si>
  <si>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</si>
  <si>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</si>
  <si>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</si>
  <si>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</si>
  <si>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</si>
  <si>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</si>
  <si>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</si>
  <si>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</si>
  <si>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</si>
  <si>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</si>
  <si>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</si>
  <si>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</si>
  <si>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</si>
  <si>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</si>
  <si>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</si>
  <si>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</si>
  <si>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</si>
  <si>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</si>
  <si>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</si>
  <si>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</si>
  <si>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</si>
  <si>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</si>
  <si>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</si>
  <si>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</si>
  <si>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</si>
  <si>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</si>
  <si>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</si>
  <si>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</si>
  <si>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</si>
  <si>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</si>
  <si>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</si>
  <si>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</si>
  <si>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</si>
  <si>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</si>
  <si>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</si>
  <si>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</si>
  <si>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</si>
  <si>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</si>
  <si>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</si>
  <si>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</si>
  <si>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</si>
  <si>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</si>
  <si>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</si>
  <si>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</si>
  <si>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</si>
  <si>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</si>
  <si>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</si>
  <si>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</si>
  <si>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</si>
  <si>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</si>
  <si>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</si>
  <si>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</si>
  <si>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</si>
  <si>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</si>
  <si>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</si>
  <si>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</si>
  <si>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</si>
  <si>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</si>
  <si>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</si>
  <si>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</si>
  <si>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</si>
  <si>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</si>
  <si>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</si>
  <si>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</si>
  <si>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</si>
  <si>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</si>
  <si>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</si>
  <si>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</si>
  <si>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</si>
  <si>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</si>
  <si>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</si>
  <si>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</si>
  <si>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</si>
  <si>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</si>
  <si>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</si>
  <si>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</si>
  <si>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</si>
  <si>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</si>
  <si>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</si>
  <si>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</si>
  <si>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</si>
  <si>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</si>
  <si>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</si>
  <si>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</si>
  <si>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</si>
  <si>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</si>
  <si>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</si>
  <si>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</si>
  <si>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</si>
  <si>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</si>
  <si>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</si>
  <si>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</si>
  <si>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</si>
  <si>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</si>
  <si>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</si>
  <si>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</si>
  <si>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</si>
  <si>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</si>
  <si>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</si>
  <si>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</si>
  <si>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</si>
  <si>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</si>
  <si>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</si>
  <si>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</si>
  <si>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</si>
  <si>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</si>
  <si>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</si>
  <si>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</si>
  <si>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</si>
  <si>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</si>
  <si>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</si>
  <si>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</si>
  <si>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</si>
  <si>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</si>
  <si>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</si>
  <si>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</si>
  <si>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</si>
  <si>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</si>
  <si>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</si>
  <si>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</si>
  <si>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</si>
  <si>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</si>
  <si>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</si>
  <si>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</si>
  <si>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</si>
  <si>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</si>
  <si>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</si>
  <si>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</si>
  <si>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</si>
  <si>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</si>
  <si>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</si>
  <si>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</si>
  <si>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</si>
  <si>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</si>
  <si>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</si>
  <si>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</si>
  <si>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</si>
  <si>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</si>
  <si>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</si>
  <si>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</si>
  <si>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</si>
  <si>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</si>
  <si>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</si>
  <si>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</si>
  <si>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</si>
  <si>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</si>
  <si>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</si>
  <si>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</si>
  <si>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</si>
  <si>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</si>
  <si>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</si>
  <si>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</si>
  <si>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</si>
  <si>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</si>
  <si>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</si>
  <si>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</si>
  <si>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</si>
  <si>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</si>
  <si>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</si>
  <si>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</si>
  <si>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</si>
  <si>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</si>
  <si>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</si>
  <si>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</si>
  <si>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</si>
  <si>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</si>
  <si>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</si>
  <si>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</si>
  <si>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</si>
  <si>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</si>
  <si>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</si>
  <si>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</si>
  <si>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</si>
  <si>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</si>
  <si>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</si>
  <si>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</si>
  <si>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</si>
  <si>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</si>
  <si>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</si>
  <si>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</si>
  <si>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</si>
  <si>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</si>
  <si>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</si>
  <si>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</si>
  <si>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</si>
  <si>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</si>
  <si>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</si>
  <si>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</si>
  <si>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</si>
  <si>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</si>
  <si>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</si>
  <si>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</si>
  <si>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</si>
  <si>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</si>
  <si>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</si>
  <si>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</si>
  <si>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</si>
  <si>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</si>
  <si>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</si>
  <si>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</si>
  <si>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</si>
  <si>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</si>
  <si>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</si>
  <si>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</si>
  <si>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</si>
  <si>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</si>
  <si>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</si>
  <si>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</si>
  <si>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</si>
  <si>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</si>
  <si>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</si>
  <si>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</si>
  <si>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</si>
  <si>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</si>
  <si>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</si>
  <si>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</si>
  <si>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</si>
  <si>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</si>
  <si>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</si>
  <si>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</si>
  <si>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</si>
  <si>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</si>
  <si>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</si>
  <si>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</si>
  <si>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</si>
  <si>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</si>
  <si>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</si>
  <si>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</si>
  <si>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</si>
  <si>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</si>
  <si>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</si>
  <si>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</si>
  <si>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</si>
  <si>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</si>
  <si>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</si>
  <si>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</si>
  <si>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</si>
  <si>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</si>
  <si>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</si>
  <si>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</si>
  <si>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</si>
  <si>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</si>
  <si>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</si>
  <si>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</si>
  <si>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</si>
  <si>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</si>
  <si>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</si>
  <si>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</si>
  <si>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</si>
  <si>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</si>
  <si>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</si>
  <si>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</si>
  <si>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</si>
  <si>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</si>
  <si>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</si>
  <si>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</si>
  <si>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</si>
  <si>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</si>
  <si>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</si>
  <si>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</si>
  <si>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</si>
  <si>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</si>
  <si>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</si>
  <si>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</si>
  <si>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</si>
  <si>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</si>
  <si>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</si>
  <si>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</si>
  <si>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</si>
  <si>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</si>
  <si>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</si>
  <si>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</si>
  <si>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</si>
  <si>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</si>
  <si>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</si>
  <si>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</si>
  <si>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</si>
  <si>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</si>
  <si>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</si>
  <si>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</si>
  <si>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</si>
  <si>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</si>
  <si>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</si>
  <si>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</si>
  <si>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</si>
  <si>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</si>
  <si>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</si>
  <si>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</si>
  <si>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</si>
  <si>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</si>
  <si>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</si>
  <si>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</si>
  <si>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</si>
  <si>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</si>
  <si>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</si>
  <si>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</si>
  <si>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</si>
  <si>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</si>
  <si>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</si>
  <si>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</si>
  <si>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</si>
  <si>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</si>
  <si>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</si>
  <si>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</si>
  <si>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</si>
  <si>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</si>
  <si>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</si>
  <si>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</si>
  <si>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</si>
  <si>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</si>
  <si>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</si>
  <si>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</si>
  <si>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</si>
  <si>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</si>
  <si>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</si>
  <si>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</si>
  <si>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</si>
  <si>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</si>
  <si>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</si>
  <si>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</si>
  <si>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</si>
  <si>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</si>
  <si>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</si>
  <si>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</si>
  <si>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</si>
  <si>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</si>
  <si>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</si>
  <si>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</si>
  <si>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</si>
  <si>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</si>
  <si>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</si>
  <si>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</si>
  <si>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</si>
  <si>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</si>
  <si>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</si>
  <si>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</si>
  <si>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</si>
  <si>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</si>
  <si>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</si>
  <si>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</si>
  <si>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</si>
  <si>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</si>
  <si>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</si>
  <si>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</si>
  <si>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</si>
  <si>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</si>
  <si>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</si>
  <si>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</si>
  <si>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</si>
  <si>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</si>
  <si>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</si>
  <si>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</si>
  <si>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</si>
  <si>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</si>
  <si>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</si>
  <si>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</si>
  <si>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</si>
  <si>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</si>
  <si>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</si>
  <si>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</si>
  <si>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</si>
  <si>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</si>
  <si>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</si>
  <si>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</si>
  <si>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</si>
  <si>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</si>
  <si>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</si>
  <si>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</si>
  <si>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</si>
  <si>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</si>
  <si>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</si>
  <si>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</si>
  <si>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</si>
  <si>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</si>
  <si>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</si>
  <si>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</si>
  <si>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</si>
  <si>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</si>
  <si>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</si>
  <si>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</si>
  <si>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</si>
  <si>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</si>
  <si>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</si>
  <si>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</si>
  <si>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</si>
  <si>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</si>
  <si>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</si>
  <si>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</si>
  <si>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</si>
  <si>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</si>
  <si>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</si>
  <si>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</si>
  <si>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</si>
  <si>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</si>
  <si>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</si>
  <si>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</si>
  <si>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</si>
  <si>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</si>
  <si>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</si>
  <si>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</si>
  <si>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</si>
  <si>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</si>
  <si>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</si>
  <si>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</si>
  <si>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</si>
  <si>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</si>
  <si>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</si>
  <si>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</si>
  <si>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</si>
  <si>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</si>
  <si>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</si>
  <si>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</si>
  <si>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</si>
  <si>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</si>
  <si>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</si>
  <si>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</si>
  <si>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</si>
  <si>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</si>
  <si>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</si>
  <si>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</si>
  <si>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</si>
  <si>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</si>
  <si>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</si>
  <si>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</si>
  <si>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</si>
  <si>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</si>
  <si>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</si>
  <si>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</si>
  <si>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</si>
  <si>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</si>
  <si>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</si>
  <si>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</si>
  <si>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</si>
  <si>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</si>
  <si>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</si>
  <si>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</si>
  <si>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</si>
  <si>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</si>
  <si>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</si>
  <si>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</si>
  <si>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</si>
  <si>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</si>
  <si>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</si>
  <si>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</si>
  <si>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</si>
  <si>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</si>
  <si>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</si>
  <si>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</si>
  <si>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</si>
  <si>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</si>
  <si>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</si>
  <si>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</si>
  <si>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</si>
  <si>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</si>
  <si>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</si>
  <si>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</si>
  <si>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</si>
  <si>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</si>
  <si>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</si>
  <si>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</si>
  <si>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</si>
  <si>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</si>
  <si>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</si>
  <si>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</si>
  <si>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</si>
  <si>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</si>
  <si>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</si>
  <si>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</si>
  <si>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</si>
  <si>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</si>
  <si>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</si>
  <si>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</si>
  <si>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</si>
  <si>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</si>
  <si>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</si>
  <si>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</si>
  <si>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</si>
  <si>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</si>
  <si>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</si>
  <si>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</si>
  <si>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</si>
  <si>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</si>
  <si>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</si>
  <si>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</si>
  <si>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</si>
  <si>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</si>
  <si>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</si>
  <si>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</si>
  <si>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</si>
  <si>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</si>
  <si>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</si>
  <si>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</si>
  <si>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</si>
  <si>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</si>
  <si>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</si>
  <si>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</si>
  <si>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</si>
  <si>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</si>
  <si>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</si>
  <si>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</si>
  <si>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</si>
  <si>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</si>
  <si>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</si>
  <si>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</si>
  <si>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</si>
  <si>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</si>
  <si>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</si>
  <si>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</si>
  <si>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</si>
  <si>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</si>
  <si>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</si>
  <si>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</si>
  <si>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</si>
  <si>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</si>
  <si>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</si>
  <si>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</si>
  <si>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</si>
  <si>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</si>
  <si>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</si>
  <si>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</si>
  <si>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</si>
  <si>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</si>
  <si>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</si>
  <si>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</si>
  <si>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</si>
  <si>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</si>
  <si>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</si>
  <si>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</si>
  <si>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</si>
  <si>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</si>
  <si>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</si>
  <si>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</si>
  <si>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</si>
  <si>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</si>
  <si>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</si>
  <si>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</si>
  <si>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</si>
  <si>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</si>
  <si>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</si>
  <si>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</si>
  <si>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</si>
  <si>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</si>
  <si>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</si>
  <si>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</si>
  <si>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</si>
  <si>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</si>
  <si>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</si>
  <si>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</si>
  <si>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</si>
  <si>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</si>
  <si>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</si>
  <si>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</si>
  <si>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</si>
  <si>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</si>
  <si>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</si>
  <si>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</si>
  <si>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</si>
  <si>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</si>
  <si>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</si>
  <si>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</si>
  <si>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</si>
  <si>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</si>
  <si>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</si>
  <si>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</si>
  <si>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</si>
  <si>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</si>
  <si>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</si>
  <si>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</si>
  <si>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</si>
  <si>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</si>
  <si>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</si>
  <si>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</si>
  <si>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</si>
  <si>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</si>
  <si>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</si>
  <si>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</si>
  <si>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</si>
  <si>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</si>
  <si>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</si>
  <si>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</si>
  <si>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</si>
  <si>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</si>
  <si>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</si>
  <si>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</si>
  <si>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</si>
  <si>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</si>
  <si>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</si>
  <si>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</si>
  <si>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</si>
  <si>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</si>
  <si>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</si>
  <si>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</si>
  <si>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</si>
  <si>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</si>
  <si>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</si>
  <si>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</si>
  <si>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</si>
  <si>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</si>
  <si>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</si>
  <si>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</si>
  <si>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</si>
  <si>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</si>
  <si>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</si>
  <si>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</si>
  <si>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</si>
  <si>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</si>
  <si>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</si>
  <si>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</si>
  <si>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</si>
  <si>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</si>
  <si>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</si>
  <si>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</si>
  <si>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</si>
  <si>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</si>
  <si>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</si>
  <si>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</si>
  <si>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</si>
  <si>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</si>
  <si>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</si>
  <si>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</si>
  <si>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</si>
  <si>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</si>
  <si>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</si>
  <si>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</si>
  <si>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</si>
  <si>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</si>
  <si>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</si>
  <si>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</si>
  <si>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</si>
  <si>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</si>
  <si>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</si>
  <si>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</si>
  <si>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</si>
  <si>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</si>
  <si>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</si>
  <si>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</si>
  <si>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</si>
  <si>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</si>
  <si>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</si>
  <si>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</si>
  <si>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</si>
  <si>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</si>
  <si>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</si>
  <si>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</si>
  <si>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</si>
  <si>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</si>
  <si>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</si>
  <si>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</si>
  <si>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</si>
  <si>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</si>
  <si>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</si>
  <si>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</si>
  <si>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</si>
  <si>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</si>
  <si>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</si>
  <si>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</si>
  <si>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</si>
  <si>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</si>
  <si>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</si>
  <si>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</si>
  <si>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</si>
  <si>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</si>
  <si>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</si>
  <si>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</si>
  <si>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</si>
  <si>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</si>
  <si>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</si>
  <si>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</si>
  <si>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</si>
  <si>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</si>
  <si>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</si>
  <si>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</si>
  <si>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</si>
  <si>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</si>
  <si>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</si>
  <si>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</si>
  <si>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</si>
  <si>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</si>
  <si>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</si>
  <si>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</si>
  <si>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</si>
  <si>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</si>
  <si>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</si>
  <si>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</si>
  <si>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</si>
  <si>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</si>
  <si>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</si>
  <si>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</si>
  <si>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</si>
  <si>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</si>
  <si>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</si>
  <si>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</si>
  <si>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</si>
  <si>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</si>
  <si>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</si>
  <si>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</si>
  <si>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</si>
  <si>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</si>
  <si>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</si>
  <si>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</si>
  <si>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</si>
  <si>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</si>
  <si>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</si>
  <si>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</si>
  <si>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</si>
  <si>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</si>
  <si>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</si>
  <si>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</si>
  <si>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</si>
  <si>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</si>
  <si>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</si>
  <si>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</si>
  <si>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</si>
  <si>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</si>
  <si>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</si>
  <si>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</si>
  <si>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</si>
  <si>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</si>
  <si>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</si>
  <si>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</si>
  <si>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</si>
  <si>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</si>
  <si>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</si>
  <si>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</si>
  <si>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</si>
  <si>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</si>
  <si>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</si>
  <si>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</si>
  <si>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</si>
  <si>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</si>
  <si>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</si>
  <si>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</si>
  <si>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</si>
  <si>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</si>
  <si>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</si>
  <si>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</si>
  <si>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</si>
  <si>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</si>
  <si>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</si>
  <si>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</si>
  <si>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</si>
  <si>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</si>
  <si>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</si>
  <si>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</si>
  <si>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</si>
  <si>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</si>
  <si>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</si>
  <si>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</si>
  <si>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</si>
  <si>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</si>
  <si>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</si>
  <si>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</si>
  <si>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</si>
  <si>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</si>
  <si>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</si>
  <si>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</si>
  <si>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</si>
  <si>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</si>
  <si>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</si>
  <si>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</si>
  <si>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</si>
  <si>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</si>
  <si>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</si>
  <si>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</si>
  <si>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</si>
  <si>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</si>
  <si>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</si>
  <si>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</si>
  <si>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</si>
  <si>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</si>
  <si>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</si>
  <si>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</si>
  <si>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</si>
  <si>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</si>
  <si>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</si>
  <si>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</si>
  <si>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</si>
  <si>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</si>
  <si>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</si>
  <si>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</si>
  <si>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</si>
  <si>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</si>
  <si>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</si>
  <si>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</si>
  <si>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</si>
  <si>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</si>
  <si>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</si>
  <si>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</si>
  <si>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</si>
  <si>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</si>
  <si>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</si>
  <si>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</si>
  <si>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</si>
  <si>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</si>
  <si>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</si>
  <si>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</si>
  <si>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</si>
  <si>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</si>
  <si>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</si>
  <si>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</si>
  <si>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</si>
  <si>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</si>
  <si>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</si>
  <si>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</si>
  <si>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</si>
  <si>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</si>
  <si>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</si>
  <si>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</si>
  <si>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</si>
  <si>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</si>
  <si>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</si>
  <si>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</si>
  <si>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</si>
  <si>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</si>
  <si>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</si>
  <si>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</si>
  <si>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</si>
  <si>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</si>
  <si>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</si>
  <si>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</si>
  <si>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</si>
  <si>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</si>
  <si>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</si>
  <si>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</si>
  <si>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</si>
  <si>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</si>
  <si>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</si>
  <si>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</si>
  <si>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</si>
  <si>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</si>
  <si>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</si>
  <si>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</si>
  <si>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</si>
  <si>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</si>
  <si>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</si>
  <si>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</si>
  <si>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</si>
  <si>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</si>
  <si>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</si>
  <si>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</si>
  <si>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</si>
  <si>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</si>
  <si>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</si>
  <si>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</si>
  <si>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</si>
  <si>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</si>
  <si>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</si>
  <si>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</si>
  <si>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</si>
  <si>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</si>
  <si>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</si>
  <si>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</si>
  <si>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</si>
  <si>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</si>
  <si>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</si>
  <si>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</si>
  <si>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</si>
  <si>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</si>
  <si>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</si>
  <si>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</si>
  <si>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</si>
  <si>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</si>
  <si>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</si>
  <si>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</si>
  <si>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</si>
  <si>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</si>
  <si>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</si>
  <si>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</si>
  <si>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</si>
  <si>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</si>
  <si>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</si>
  <si>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</si>
  <si>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</si>
  <si>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</si>
  <si>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</si>
  <si>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</si>
  <si>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</si>
  <si>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</si>
  <si>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</si>
  <si>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</si>
  <si>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</si>
  <si>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</si>
  <si>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</si>
  <si>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</si>
  <si>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</si>
  <si>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</si>
  <si>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</si>
  <si>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</si>
  <si>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</si>
  <si>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</si>
  <si>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</si>
  <si>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</si>
  <si>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</si>
  <si>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</si>
  <si>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</si>
  <si>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</si>
  <si>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</si>
  <si>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</si>
  <si>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</si>
  <si>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</si>
  <si>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</si>
  <si>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</si>
  <si>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</si>
  <si>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</si>
  <si>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</si>
  <si>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</si>
  <si>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</si>
  <si>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</si>
  <si>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</si>
  <si>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</si>
  <si>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</si>
  <si>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</si>
  <si>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</si>
  <si>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</si>
  <si>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</si>
  <si>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</si>
  <si>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</si>
  <si>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</si>
  <si>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</si>
  <si>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</si>
  <si>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</si>
  <si>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</si>
  <si>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</si>
  <si>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</si>
  <si>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</si>
  <si>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</si>
  <si>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</si>
  <si>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</si>
  <si>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</si>
  <si>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</si>
  <si>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</si>
  <si>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</si>
  <si>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</si>
  <si>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</si>
  <si>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</si>
  <si>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</si>
  <si>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</si>
  <si>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</si>
  <si>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</si>
  <si>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</si>
  <si>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</si>
  <si>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</si>
  <si>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</si>
  <si>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</si>
  <si>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</si>
  <si>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</si>
  <si>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</si>
  <si>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</si>
  <si>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</si>
  <si>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</si>
  <si>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</si>
  <si>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</si>
  <si>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</si>
  <si>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</si>
  <si>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</si>
  <si>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</si>
  <si>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</si>
  <si>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</si>
  <si>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</si>
  <si>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</si>
  <si>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</si>
  <si>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</si>
  <si>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</si>
  <si>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</si>
  <si>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</si>
  <si>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</si>
  <si>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</si>
  <si>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</si>
  <si>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</si>
  <si>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</si>
  <si>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</si>
  <si>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</si>
  <si>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</si>
  <si>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</si>
  <si>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</si>
  <si>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</si>
  <si>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</si>
  <si>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</si>
  <si>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</si>
  <si>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</si>
  <si>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</si>
  <si>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</si>
  <si>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</si>
  <si>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</si>
  <si>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</si>
  <si>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</si>
  <si>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</si>
  <si>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</si>
  <si>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</si>
  <si>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</si>
  <si>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</si>
  <si>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</si>
  <si>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</si>
  <si>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</si>
  <si>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</si>
  <si>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</si>
  <si>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</si>
  <si>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</si>
  <si>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</si>
  <si>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</si>
  <si>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</si>
  <si>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</si>
  <si>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</si>
  <si>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</si>
  <si>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</si>
  <si>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</si>
  <si>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</si>
  <si>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</si>
  <si>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</si>
  <si>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</si>
  <si>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</si>
  <si>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</si>
  <si>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</si>
  <si>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</si>
  <si>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</si>
  <si>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</si>
  <si>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</si>
  <si>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</si>
  <si>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</si>
  <si>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</si>
  <si>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</si>
  <si>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</si>
  <si>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</si>
  <si>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</si>
  <si>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</si>
  <si>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</si>
  <si>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</si>
  <si>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</si>
  <si>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</si>
  <si>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</si>
  <si>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</si>
  <si>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</si>
  <si>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</si>
  <si>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</si>
  <si>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</si>
  <si>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</si>
  <si>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</si>
  <si>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</si>
  <si>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</si>
  <si>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</si>
  <si>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</si>
  <si>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</si>
  <si>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</si>
  <si>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</si>
  <si>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</si>
  <si>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</si>
  <si>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</si>
  <si>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</si>
  <si>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</si>
  <si>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</si>
  <si>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</si>
  <si>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</si>
  <si>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</si>
  <si>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</si>
  <si>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</si>
  <si>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</si>
  <si>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</si>
  <si>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</si>
  <si>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</si>
  <si>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</si>
  <si>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</si>
  <si>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</si>
  <si>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</si>
  <si>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</si>
  <si>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</si>
  <si>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</si>
  <si>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</si>
  <si>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</si>
  <si>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</si>
  <si>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</si>
  <si>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</si>
  <si>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</si>
  <si>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</si>
  <si>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</si>
  <si>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</si>
  <si>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</si>
  <si>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</si>
  <si>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</si>
  <si>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</si>
  <si>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</si>
  <si>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</si>
  <si>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</si>
  <si>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</si>
  <si>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</si>
  <si>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</si>
  <si>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</si>
  <si>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</si>
  <si>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</si>
  <si>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</si>
  <si>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</si>
  <si>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</si>
  <si>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</si>
  <si>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</si>
  <si>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</si>
  <si>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</si>
  <si>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</si>
  <si>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</si>
  <si>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</si>
  <si>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</si>
  <si>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</si>
  <si>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</si>
  <si>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</si>
  <si>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</si>
  <si>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</si>
  <si>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</si>
  <si>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</si>
  <si>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</si>
  <si>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</si>
  <si>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</si>
  <si>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</si>
  <si>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</si>
  <si>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</si>
  <si>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</si>
  <si>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</si>
  <si>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</si>
  <si>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</si>
  <si>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</si>
  <si>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</si>
  <si>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</si>
  <si>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</si>
  <si>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</si>
  <si>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</si>
  <si>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</si>
  <si>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</si>
  <si>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</si>
  <si>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</si>
  <si>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</si>
  <si>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</si>
  <si>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</si>
  <si>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</si>
  <si>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</si>
  <si>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</si>
  <si>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</si>
  <si>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</si>
  <si>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</si>
  <si>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</si>
  <si>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</si>
  <si>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</si>
  <si>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</si>
  <si>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</si>
  <si>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</si>
  <si>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</si>
  <si>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</si>
  <si>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</si>
  <si>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</si>
  <si>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</si>
  <si>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</si>
  <si>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</si>
  <si>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</si>
  <si>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</si>
  <si>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</si>
  <si>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</si>
  <si>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</si>
  <si>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</si>
  <si>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</si>
  <si>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</si>
  <si>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</si>
  <si>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</si>
  <si>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</si>
  <si>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</si>
  <si>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</si>
  <si>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</si>
  <si>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</si>
  <si>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</si>
  <si>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</si>
  <si>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</si>
  <si>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</si>
  <si>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</si>
  <si>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</si>
  <si>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</si>
  <si>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</si>
  <si>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</si>
  <si>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</si>
  <si>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</si>
  <si>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</si>
  <si>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</si>
  <si>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</si>
  <si>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</si>
  <si>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</si>
  <si>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</si>
  <si>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</si>
  <si>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</si>
  <si>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</si>
  <si>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</si>
  <si>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</si>
  <si>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</si>
  <si>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</si>
  <si>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</si>
  <si>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</si>
  <si>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</si>
  <si>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</si>
  <si>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</si>
  <si>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</si>
  <si>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</si>
  <si>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</si>
  <si>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</si>
  <si>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</si>
  <si>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</si>
  <si>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</si>
  <si>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</si>
  <si>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</si>
  <si>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</si>
  <si>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</si>
  <si>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</si>
  <si>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</si>
  <si>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</si>
  <si>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</si>
  <si>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</si>
  <si>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</si>
  <si>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</si>
  <si>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</si>
  <si>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</si>
  <si>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</si>
  <si>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</si>
  <si>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</si>
  <si>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</si>
  <si>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</si>
  <si>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</si>
  <si>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</si>
  <si>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</si>
  <si>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</si>
  <si>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</si>
  <si>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</si>
  <si>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</si>
  <si>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</si>
  <si>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</si>
  <si>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</si>
  <si>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</si>
  <si>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</si>
  <si>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</si>
  <si>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</si>
  <si>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</si>
  <si>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</si>
  <si>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</si>
  <si>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</si>
  <si>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</si>
  <si>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</si>
  <si>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</si>
  <si>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</si>
  <si>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</si>
  <si>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</si>
  <si>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</si>
  <si>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</si>
  <si>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</si>
  <si>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</si>
  <si>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</si>
  <si>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</si>
  <si>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</si>
  <si>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</si>
  <si>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</si>
  <si>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</si>
  <si>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</si>
  <si>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</si>
  <si>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</si>
  <si>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</si>
  <si>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</si>
  <si>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</si>
  <si>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</si>
  <si>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</si>
  <si>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</si>
  <si>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</si>
  <si>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</si>
  <si>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</si>
  <si>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</si>
  <si>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</si>
  <si>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</si>
  <si>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</si>
  <si>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</si>
  <si>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</si>
  <si>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</si>
  <si>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</si>
  <si>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</si>
  <si>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</si>
  <si>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</si>
  <si>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</si>
  <si>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</si>
  <si>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</si>
  <si>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</si>
  <si>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</si>
  <si>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</si>
  <si>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</si>
  <si>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</si>
  <si>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</si>
  <si>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</si>
  <si>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</si>
  <si>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</si>
  <si>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</si>
  <si>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</si>
  <si>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</si>
  <si>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</si>
  <si>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</si>
  <si>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</si>
  <si>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</si>
  <si>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</si>
  <si>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</si>
  <si>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</si>
  <si>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</si>
  <si>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</si>
  <si>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</si>
  <si>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</si>
  <si>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</si>
  <si>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</si>
  <si>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</si>
  <si>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</si>
  <si>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</si>
  <si>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</si>
  <si>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</si>
  <si>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</si>
  <si>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</si>
  <si>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</si>
  <si>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</si>
  <si>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</si>
  <si>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</si>
  <si>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</si>
  <si>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</si>
  <si>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</si>
  <si>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</si>
  <si>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</si>
  <si>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</si>
  <si>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</si>
  <si>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</si>
  <si>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</si>
  <si>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</si>
  <si>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</si>
  <si>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</si>
  <si>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</si>
  <si>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</si>
  <si>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</si>
  <si>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</si>
  <si>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</si>
  <si>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</si>
  <si>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</si>
  <si>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</si>
  <si>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</si>
  <si>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</si>
  <si>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</si>
  <si>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</si>
  <si>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</si>
  <si>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</si>
  <si>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</si>
  <si>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</si>
  <si>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</si>
  <si>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</si>
  <si>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</si>
  <si>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</si>
  <si>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</si>
  <si>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</si>
  <si>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</si>
  <si>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</si>
  <si>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</si>
  <si>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</si>
  <si>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</si>
  <si>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</si>
  <si>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</si>
  <si>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</si>
  <si>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</si>
  <si>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</si>
  <si>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</si>
  <si>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</si>
  <si>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</si>
  <si>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</si>
  <si>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</si>
  <si>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</si>
  <si>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</si>
  <si>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</si>
  <si>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</si>
  <si>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</si>
  <si>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</si>
  <si>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</si>
  <si>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</si>
  <si>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</si>
  <si>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</si>
  <si>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</si>
  <si>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</si>
  <si>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</si>
  <si>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</si>
  <si>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</si>
  <si>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</si>
  <si>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</si>
  <si>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</si>
  <si>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</si>
  <si>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</si>
  <si>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</si>
  <si>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</si>
  <si>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</si>
  <si>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</si>
  <si>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</si>
  <si>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</si>
  <si>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</si>
  <si>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</si>
  <si>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</si>
  <si>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</si>
  <si>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</si>
  <si>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</si>
  <si>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</si>
  <si>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</si>
  <si>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</si>
  <si>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</si>
  <si>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</si>
  <si>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</si>
  <si>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</si>
  <si>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</si>
  <si>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</si>
  <si>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</si>
  <si>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</si>
  <si>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</si>
  <si>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</si>
  <si>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</si>
  <si>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</si>
  <si>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</si>
  <si>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</si>
  <si>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</si>
  <si>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</si>
  <si>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</si>
  <si>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</si>
  <si>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</si>
  <si>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</si>
  <si>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</si>
  <si>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</si>
  <si>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</si>
  <si>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</si>
  <si>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</si>
  <si>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</si>
  <si>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</si>
  <si>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</si>
  <si>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</si>
  <si>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</si>
  <si>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</si>
  <si>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</si>
  <si>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</si>
  <si>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</si>
  <si>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</si>
  <si>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</si>
  <si>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</si>
  <si>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</si>
  <si>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</si>
  <si>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</si>
  <si>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</si>
  <si>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</si>
  <si>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</si>
  <si>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</si>
  <si>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</si>
  <si>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</si>
  <si>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</si>
  <si>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</si>
  <si>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</si>
  <si>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</si>
  <si>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</si>
  <si>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</si>
  <si>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</si>
  <si>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</si>
  <si>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</si>
  <si>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</si>
  <si>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</si>
  <si>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</si>
  <si>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</si>
  <si>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</si>
  <si>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</si>
  <si>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</si>
  <si>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</si>
  <si>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</si>
  <si>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</si>
  <si>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</si>
  <si>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</si>
  <si>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</si>
  <si>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</si>
  <si>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</si>
  <si>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</si>
  <si>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</si>
  <si>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</si>
  <si>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</si>
  <si>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</si>
  <si>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</si>
  <si>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</si>
  <si>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</si>
  <si>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</si>
  <si>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</si>
  <si>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</si>
  <si>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</si>
  <si>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</si>
  <si>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</si>
  <si>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</si>
  <si>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</si>
  <si>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</si>
  <si>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</si>
  <si>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</si>
  <si>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</si>
  <si>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</si>
  <si>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</si>
  <si>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</si>
  <si>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</si>
  <si>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</si>
  <si>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</si>
  <si>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</si>
  <si>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</si>
  <si>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</si>
  <si>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</si>
  <si>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</si>
  <si>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</si>
  <si>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</si>
  <si>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</si>
  <si>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</si>
  <si>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</si>
  <si>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</si>
  <si>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</si>
  <si>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</si>
  <si>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</si>
  <si>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</si>
  <si>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</si>
  <si>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</si>
  <si>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</si>
  <si>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</si>
  <si>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</si>
  <si>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</si>
  <si>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</si>
  <si>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</si>
  <si>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</si>
  <si>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</si>
  <si>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</si>
  <si>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</si>
  <si>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</si>
  <si>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</si>
  <si>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</si>
  <si>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</si>
  <si>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</si>
  <si>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</si>
  <si>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</si>
  <si>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</si>
  <si>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</si>
  <si>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</si>
  <si>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</si>
  <si>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</si>
  <si>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</si>
  <si>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</si>
  <si>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</si>
  <si>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</si>
  <si>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</si>
  <si>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</si>
  <si>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</si>
  <si>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</si>
  <si>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</si>
  <si>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</si>
  <si>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</si>
  <si>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</si>
  <si>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</si>
  <si>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</si>
  <si>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</si>
  <si>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</si>
  <si>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</si>
  <si>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</si>
  <si>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</si>
  <si>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</si>
  <si>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</si>
  <si>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</si>
  <si>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</si>
  <si>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</si>
  <si>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</si>
  <si>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</si>
  <si>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</si>
  <si>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</si>
  <si>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</si>
  <si>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</si>
  <si>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</si>
  <si>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</si>
  <si>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</si>
  <si>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</si>
  <si>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</si>
  <si>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</si>
  <si>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</si>
  <si>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</si>
  <si>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</si>
  <si>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</si>
  <si>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</si>
  <si>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</si>
  <si>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</si>
  <si>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</si>
  <si>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</si>
  <si>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</si>
  <si>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</si>
  <si>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</si>
  <si>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</si>
  <si>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</si>
  <si>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</si>
  <si>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</si>
  <si>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</si>
  <si>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</si>
  <si>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</si>
  <si>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</si>
  <si>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</si>
  <si>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</si>
  <si>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</si>
  <si>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</si>
  <si>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</si>
  <si>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</si>
  <si>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</si>
  <si>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</si>
  <si>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</si>
  <si>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</si>
  <si>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</si>
  <si>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</si>
  <si>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</si>
  <si>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</si>
  <si>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</si>
  <si>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</si>
  <si>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</si>
  <si>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</si>
  <si>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</si>
  <si>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</si>
  <si>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</si>
  <si>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</si>
  <si>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</si>
  <si>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</si>
  <si>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</si>
  <si>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</si>
  <si>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</si>
  <si>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</si>
  <si>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</si>
  <si>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</si>
  <si>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</si>
  <si>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</si>
  <si>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</si>
  <si>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</si>
  <si>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</si>
  <si>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</si>
  <si>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</si>
  <si>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</si>
  <si>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</si>
  <si>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</si>
  <si>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</si>
  <si>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</si>
  <si>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</si>
  <si>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</si>
  <si>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</si>
  <si>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</si>
  <si>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</si>
  <si>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</si>
  <si>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</si>
  <si>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</si>
  <si>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</si>
  <si>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</si>
  <si>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</si>
  <si>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</si>
  <si>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</si>
  <si>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</si>
  <si>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</si>
  <si>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</si>
  <si>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</si>
  <si>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</si>
  <si>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</si>
  <si>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</si>
  <si>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</si>
  <si>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</si>
  <si>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</si>
  <si>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</si>
  <si>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</si>
  <si>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</si>
  <si>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</si>
  <si>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</si>
  <si>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</si>
  <si>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</si>
  <si>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</si>
  <si>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</si>
  <si>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</si>
  <si>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</si>
  <si>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</si>
  <si>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</si>
  <si>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</si>
  <si>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</si>
  <si>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</si>
  <si>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</si>
  <si>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</si>
  <si>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</si>
  <si>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</si>
  <si>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</si>
  <si>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</si>
  <si>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</si>
  <si>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</si>
  <si>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</si>
  <si>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</si>
  <si>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</si>
  <si>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</si>
  <si>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</si>
  <si>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</si>
  <si>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</si>
  <si>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</si>
  <si>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</si>
  <si>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</si>
  <si>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</si>
  <si>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</si>
  <si>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</si>
  <si>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</si>
  <si>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</si>
  <si>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</si>
  <si>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</si>
  <si>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</si>
  <si>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</si>
  <si>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</si>
  <si>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</si>
  <si>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</si>
  <si>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</si>
  <si>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</si>
  <si>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</si>
  <si>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</si>
  <si>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</si>
  <si>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</si>
  <si>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</si>
  <si>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</si>
  <si>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</si>
  <si>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</si>
  <si>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</si>
  <si>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</si>
  <si>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</si>
  <si>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</si>
  <si>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</si>
  <si>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</si>
  <si>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</si>
  <si>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</si>
  <si>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</si>
  <si>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</si>
  <si>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</si>
  <si>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</si>
  <si>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</si>
  <si>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</si>
  <si>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</si>
  <si>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</si>
  <si>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</si>
  <si>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</si>
  <si>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</si>
  <si>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</si>
  <si>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</si>
  <si>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</si>
  <si>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</si>
  <si>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</si>
  <si>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</si>
  <si>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</si>
  <si>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</si>
  <si>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</si>
  <si>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</si>
  <si>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</si>
  <si>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</si>
  <si>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</si>
  <si>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</si>
  <si>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</si>
  <si>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</si>
  <si>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</si>
  <si>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</si>
  <si>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</si>
  <si>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</si>
  <si>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</si>
  <si>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</si>
  <si>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</si>
  <si>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</si>
  <si>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</si>
  <si>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</si>
  <si>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</si>
  <si>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</si>
  <si>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</si>
  <si>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</si>
  <si>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</si>
  <si>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</si>
  <si>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</si>
  <si>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</si>
  <si>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</si>
  <si>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</si>
  <si>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</si>
  <si>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</si>
  <si>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</si>
  <si>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</si>
  <si>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</si>
  <si>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</si>
  <si>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</si>
  <si>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</si>
  <si>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</si>
  <si>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</si>
  <si>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</si>
  <si>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</si>
  <si>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</si>
  <si>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</si>
  <si>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</si>
  <si>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</si>
  <si>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</si>
  <si>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</si>
  <si>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</si>
  <si>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</si>
  <si>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</si>
  <si>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</si>
  <si>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</si>
  <si>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</si>
  <si>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</si>
  <si>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</si>
  <si>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</si>
  <si>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</si>
  <si>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</si>
  <si>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</si>
  <si>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</si>
  <si>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</si>
  <si>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</si>
  <si>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</si>
  <si>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</si>
  <si>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</si>
  <si>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</si>
  <si>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</si>
  <si>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</si>
  <si>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</si>
  <si>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</si>
  <si>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</si>
  <si>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</si>
  <si>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</si>
  <si>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</si>
  <si>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</si>
  <si>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</si>
  <si>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</si>
  <si>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</si>
  <si>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</si>
  <si>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</si>
  <si>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</si>
  <si>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</si>
  <si>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</si>
  <si>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</si>
  <si>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</si>
  <si>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</si>
  <si>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</si>
  <si>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</si>
  <si>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</si>
  <si>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</si>
  <si>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</si>
  <si>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</si>
  <si>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</si>
  <si>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</si>
  <si>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</si>
  <si>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</si>
  <si>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</si>
  <si>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</si>
  <si>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</si>
  <si>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</si>
  <si>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</si>
  <si>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</si>
  <si>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</si>
  <si>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</si>
  <si>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</si>
  <si>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</si>
  <si>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</si>
  <si>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</si>
  <si>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</si>
  <si>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</si>
  <si>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</si>
  <si>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</si>
  <si>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</si>
  <si>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</si>
  <si>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</si>
  <si>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</si>
  <si>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</si>
  <si>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</si>
  <si>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</si>
  <si>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</si>
  <si>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</si>
  <si>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</si>
  <si>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</si>
  <si>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</si>
  <si>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</si>
  <si>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</si>
  <si>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</si>
  <si>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</si>
  <si>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</si>
  <si>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</si>
  <si>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</si>
  <si>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</si>
  <si>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</si>
  <si>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</si>
  <si>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</si>
  <si>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</si>
  <si>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</si>
  <si>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</si>
  <si>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</si>
  <si>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</si>
  <si>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</si>
  <si>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</si>
  <si>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</si>
  <si>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</si>
  <si>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</si>
  <si>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</si>
  <si>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</si>
  <si>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</si>
  <si>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</si>
  <si>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</si>
  <si>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</si>
  <si>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</si>
  <si>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</si>
  <si>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</si>
  <si>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</si>
  <si>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</si>
  <si>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</si>
  <si>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</si>
  <si>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</si>
  <si>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</si>
  <si>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</si>
  <si>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</si>
  <si>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</si>
  <si>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</si>
  <si>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</si>
  <si>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</si>
  <si>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</si>
  <si>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</si>
  <si>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</si>
  <si>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</si>
  <si>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</si>
  <si>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</si>
  <si>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</si>
  <si>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</si>
  <si>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</si>
  <si>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</si>
  <si>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</si>
  <si>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</si>
  <si>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</si>
  <si>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</si>
  <si>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</si>
  <si>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</si>
  <si>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</si>
  <si>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</si>
  <si>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</si>
  <si>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</si>
  <si>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</si>
  <si>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</si>
  <si>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</si>
  <si>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</si>
  <si>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</si>
  <si>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</si>
  <si>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</si>
  <si>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</si>
  <si>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</si>
  <si>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</si>
  <si>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</si>
  <si>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</si>
  <si>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</si>
  <si>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</si>
  <si>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</si>
  <si>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</si>
  <si>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</si>
  <si>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</si>
  <si>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</si>
  <si>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</si>
  <si>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</si>
  <si>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</si>
  <si>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</si>
  <si>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</si>
  <si>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</si>
  <si>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</si>
  <si>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</si>
  <si>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</si>
  <si>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</si>
  <si>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</si>
  <si>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</si>
  <si>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</si>
  <si>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</si>
  <si>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</si>
  <si>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</si>
  <si>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</si>
  <si>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</si>
  <si>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</si>
  <si>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</si>
  <si>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</si>
  <si>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</si>
  <si>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</si>
  <si>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</si>
  <si>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</si>
  <si>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</si>
  <si>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</si>
  <si>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</si>
  <si>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</si>
  <si>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</si>
  <si>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</si>
  <si>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</si>
  <si>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</si>
  <si>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</si>
  <si>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</si>
  <si>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</si>
  <si>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</si>
  <si>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</si>
  <si>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</si>
  <si>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</si>
  <si>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</si>
  <si>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</si>
  <si>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</si>
  <si>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</si>
  <si>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</si>
  <si>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</si>
  <si>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</si>
  <si>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</si>
  <si>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</si>
  <si>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</si>
  <si>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</si>
  <si>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</si>
  <si>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</si>
  <si>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</si>
  <si>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</si>
  <si>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</si>
  <si>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</si>
  <si>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</si>
  <si>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</si>
  <si>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</si>
  <si>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</si>
  <si>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</si>
  <si>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</si>
  <si>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</si>
  <si>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</si>
  <si>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</si>
  <si>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</si>
  <si>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</si>
  <si>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</si>
  <si>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</si>
  <si>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</si>
  <si>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</si>
  <si>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</si>
  <si>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</si>
  <si>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</si>
  <si>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</si>
  <si>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</si>
  <si>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</si>
  <si>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</si>
  <si>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</si>
  <si>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</si>
  <si>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</si>
  <si>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</si>
  <si>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</si>
  <si>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</si>
  <si>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</si>
  <si>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</si>
  <si>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</si>
  <si>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</si>
  <si>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</si>
  <si>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</si>
  <si>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</si>
  <si>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</si>
  <si>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</si>
  <si>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</si>
  <si>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</si>
  <si>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</si>
  <si>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</si>
  <si>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</si>
  <si>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</si>
  <si>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</si>
  <si>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</si>
  <si>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</si>
  <si>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</si>
  <si>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</si>
  <si>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</si>
  <si>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</si>
  <si>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</si>
  <si>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</si>
  <si>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</si>
  <si>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</si>
  <si>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</si>
  <si>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</si>
  <si>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</si>
  <si>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</si>
  <si>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</si>
  <si>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</si>
  <si>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</si>
  <si>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</si>
  <si>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</si>
  <si>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</si>
  <si>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</si>
  <si>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</si>
  <si>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</si>
  <si>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</si>
  <si>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</si>
  <si>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</si>
  <si>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</si>
  <si>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</si>
  <si>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</si>
  <si>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</si>
  <si>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</si>
  <si>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</si>
  <si>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</si>
  <si>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</si>
  <si>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</si>
  <si>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</si>
  <si>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</si>
  <si>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</si>
  <si>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</si>
  <si>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</si>
  <si>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</si>
  <si>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</si>
  <si>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</si>
  <si>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</si>
  <si>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</si>
  <si>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</si>
  <si>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</si>
  <si>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</si>
  <si>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</si>
  <si>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</si>
  <si>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</si>
  <si>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</si>
  <si>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</si>
  <si>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</si>
  <si>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</si>
  <si>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</si>
  <si>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</si>
  <si>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</si>
  <si>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</si>
  <si>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</si>
  <si>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</si>
  <si>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</si>
  <si>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</si>
  <si>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</si>
  <si>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</si>
  <si>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</si>
  <si>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</si>
  <si>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</si>
  <si>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</si>
  <si>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</si>
  <si>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</si>
  <si>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</si>
  <si>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</si>
  <si>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</si>
  <si>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</si>
  <si>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</si>
  <si>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</si>
  <si>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</si>
  <si>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</si>
  <si>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</si>
  <si>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</si>
  <si>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</si>
  <si>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</si>
  <si>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</si>
  <si>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</si>
  <si>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</si>
  <si>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</si>
  <si>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</si>
  <si>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</si>
  <si>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</si>
  <si>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</si>
  <si>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</si>
  <si>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</si>
  <si>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</si>
  <si>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</si>
  <si>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</si>
  <si>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</si>
  <si>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</si>
  <si>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</si>
  <si>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</si>
  <si>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</si>
  <si>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</si>
  <si>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</si>
  <si>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</si>
  <si>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</si>
  <si>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</si>
  <si>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</si>
  <si>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</si>
  <si>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</si>
  <si>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</si>
  <si>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</si>
  <si>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</si>
  <si>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</si>
  <si>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</si>
  <si>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</si>
  <si>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</si>
  <si>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</si>
  <si>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</si>
  <si>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</si>
  <si>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</si>
  <si>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</si>
  <si>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</si>
  <si>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</si>
  <si>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</si>
  <si>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</si>
  <si>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</si>
  <si>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</si>
  <si>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</si>
  <si>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</si>
  <si>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</si>
  <si>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</si>
  <si>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</si>
  <si>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</si>
  <si>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</si>
  <si>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</si>
  <si>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</si>
  <si>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</si>
  <si>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</si>
  <si>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</si>
  <si>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</si>
  <si>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</si>
  <si>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</si>
  <si>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</si>
  <si>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</si>
  <si>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</si>
  <si>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</si>
  <si>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</si>
  <si>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</si>
  <si>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</si>
  <si>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</si>
  <si>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</si>
  <si>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</si>
  <si>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</si>
  <si>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</si>
  <si>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</si>
  <si>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</si>
  <si>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</si>
  <si>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</si>
  <si>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</si>
  <si>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</si>
  <si>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</si>
  <si>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</si>
  <si>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</si>
  <si>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</si>
  <si>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</si>
  <si>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</si>
  <si>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</si>
  <si>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</si>
  <si>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</si>
  <si>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</si>
  <si>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</si>
  <si>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</si>
  <si>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</si>
  <si>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</si>
  <si>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</si>
  <si>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</si>
  <si>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</si>
  <si>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</si>
  <si>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</si>
  <si>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</si>
  <si>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</si>
  <si>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</si>
  <si>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</si>
  <si>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</si>
  <si>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</si>
  <si>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</si>
  <si>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</si>
  <si>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</si>
  <si>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</si>
  <si>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</si>
  <si>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</si>
  <si>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</si>
  <si>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</si>
  <si>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</si>
  <si>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</si>
  <si>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</si>
  <si>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</si>
  <si>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</si>
  <si>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</si>
  <si>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</si>
  <si>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</si>
  <si>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</si>
  <si>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</si>
  <si>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</si>
  <si>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</si>
  <si>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</si>
  <si>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</si>
  <si>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</si>
  <si>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</si>
  <si>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</si>
  <si>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</si>
  <si>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</si>
  <si>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</si>
  <si>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</si>
  <si>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</si>
  <si>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</si>
  <si>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</si>
  <si>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</si>
  <si>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</si>
  <si>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</si>
  <si>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</si>
  <si>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</si>
  <si>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</si>
  <si>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</si>
  <si>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</si>
  <si>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</si>
  <si>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</si>
  <si>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</si>
  <si>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</si>
  <si>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</si>
  <si>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</si>
  <si>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</si>
  <si>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</si>
  <si>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</si>
  <si>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</si>
  <si>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</si>
  <si>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</si>
  <si>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</si>
  <si>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</si>
  <si>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</si>
  <si>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</si>
  <si>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</si>
  <si>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</si>
  <si>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</si>
  <si>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</si>
  <si>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</si>
  <si>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</si>
  <si>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</si>
  <si>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</si>
  <si>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</si>
  <si>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</si>
  <si>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</si>
  <si>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</si>
  <si>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</si>
  <si>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</si>
  <si>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</si>
  <si>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</si>
  <si>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</si>
  <si>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</si>
  <si>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</si>
  <si>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</si>
  <si>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</si>
  <si>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</si>
  <si>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</si>
  <si>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</si>
  <si>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</si>
  <si>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</si>
  <si>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</si>
  <si>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</si>
  <si>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</si>
  <si>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</si>
  <si>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</si>
  <si>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</si>
  <si>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</si>
  <si>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</si>
  <si>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</si>
  <si>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</si>
  <si>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</si>
  <si>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</si>
  <si>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</si>
  <si>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</si>
  <si>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</si>
  <si>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</si>
  <si>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</si>
  <si>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</si>
  <si>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</si>
  <si>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</si>
  <si>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</si>
  <si>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</si>
  <si>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</si>
  <si>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</si>
  <si>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</si>
  <si>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</si>
  <si>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</si>
  <si>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</si>
  <si>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</si>
  <si>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</si>
  <si>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</si>
  <si>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</si>
  <si>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</si>
  <si>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</si>
  <si>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</si>
  <si>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</si>
  <si>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</si>
  <si>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</si>
  <si>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</si>
  <si>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</si>
  <si>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</si>
  <si>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</si>
  <si>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</si>
  <si>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</si>
  <si>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</si>
  <si>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</si>
  <si>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</si>
  <si>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</si>
  <si>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</si>
  <si>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</si>
  <si>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</si>
  <si>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</si>
  <si>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</si>
  <si>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</si>
  <si>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</si>
  <si>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</si>
  <si>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</si>
  <si>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</si>
  <si>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</si>
  <si>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</si>
  <si>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</si>
  <si>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</si>
  <si>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</si>
  <si>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</si>
  <si>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</si>
  <si>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</si>
  <si>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</si>
  <si>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</si>
  <si>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</si>
  <si>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</si>
  <si>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</si>
  <si>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</si>
  <si>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</si>
  <si>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</si>
  <si>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</si>
  <si>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</si>
  <si>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</si>
  <si>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</si>
  <si>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</si>
  <si>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</si>
  <si>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</si>
  <si>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</si>
  <si>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</si>
  <si>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</si>
  <si>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</si>
  <si>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</si>
  <si>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</si>
  <si>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</si>
  <si>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</si>
  <si>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</si>
  <si>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</si>
  <si>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</si>
  <si>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</si>
  <si>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</si>
  <si>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</si>
  <si>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</si>
  <si>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</si>
  <si>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</si>
  <si>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</si>
  <si>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</si>
  <si>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</si>
  <si>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</si>
  <si>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</si>
  <si>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</si>
  <si>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</si>
  <si>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</si>
  <si>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</si>
  <si>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</si>
  <si>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</si>
  <si>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</si>
  <si>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</si>
  <si>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</si>
  <si>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</si>
  <si>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</si>
  <si>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</si>
  <si>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</si>
  <si>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</si>
  <si>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</si>
  <si>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</si>
  <si>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</si>
  <si>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</si>
  <si>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</si>
  <si>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</si>
  <si>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</si>
  <si>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</si>
  <si>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</si>
  <si>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</si>
  <si>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</si>
  <si>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</si>
  <si>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</si>
  <si>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</si>
  <si>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</si>
  <si>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</si>
  <si>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</si>
  <si>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</si>
  <si>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</si>
  <si>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</si>
  <si>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</si>
  <si>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</si>
  <si>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</si>
  <si>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</si>
  <si>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</si>
  <si>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</si>
  <si>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</si>
  <si>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</si>
  <si>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</si>
  <si>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</si>
  <si>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</si>
  <si>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</si>
  <si>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</si>
  <si>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</si>
  <si>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</si>
  <si>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</si>
  <si>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</si>
  <si>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</si>
  <si>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</si>
  <si>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</si>
  <si>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</si>
  <si>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</si>
  <si>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</si>
  <si>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</si>
  <si>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</si>
  <si>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</si>
  <si>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</si>
  <si>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</si>
  <si>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</si>
  <si>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</si>
  <si>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</si>
  <si>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</si>
  <si>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</si>
  <si>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</si>
  <si>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</si>
  <si>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</si>
  <si>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</si>
  <si>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</si>
  <si>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</si>
  <si>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</si>
  <si>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</si>
  <si>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</si>
  <si>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</si>
  <si>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</si>
  <si>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</si>
  <si>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</si>
  <si>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</si>
  <si>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</si>
  <si>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</si>
  <si>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</si>
  <si>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</si>
  <si>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</si>
  <si>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</si>
  <si>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</si>
  <si>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</si>
  <si>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</si>
  <si>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</si>
  <si>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</si>
  <si>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</si>
  <si>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</si>
  <si>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</si>
  <si>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</si>
  <si>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</si>
  <si>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</si>
  <si>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</si>
  <si>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</si>
  <si>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</si>
  <si>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</si>
  <si>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</si>
  <si>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</si>
  <si>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</si>
  <si>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</si>
  <si>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</si>
  <si>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</si>
  <si>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</si>
  <si>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</si>
  <si>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</si>
  <si>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</si>
  <si>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</si>
  <si>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</si>
  <si>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</si>
  <si>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</si>
  <si>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</si>
  <si>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</si>
  <si>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</si>
  <si>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</si>
  <si>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</si>
  <si>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</si>
  <si>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</si>
  <si>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</si>
  <si>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</si>
  <si>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</si>
  <si>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</si>
  <si>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</si>
  <si>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</si>
  <si>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</si>
  <si>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</si>
  <si>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</si>
  <si>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</si>
  <si>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</si>
  <si>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</si>
  <si>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</si>
  <si>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</si>
  <si>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</si>
  <si>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</si>
  <si>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</si>
  <si>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</si>
  <si>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</si>
  <si>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</si>
  <si>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</si>
  <si>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</si>
  <si>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</si>
  <si>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</si>
  <si>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</si>
  <si>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</si>
  <si>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</si>
  <si>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</si>
  <si>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</si>
  <si>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</si>
  <si>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</si>
  <si>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</si>
  <si>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</si>
  <si>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</si>
  <si>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</si>
  <si>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</si>
  <si>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</si>
  <si>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</si>
  <si>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</si>
  <si>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</si>
  <si>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</si>
  <si>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</si>
  <si>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</si>
  <si>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</si>
  <si>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</si>
  <si>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</si>
  <si>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</si>
  <si>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</si>
  <si>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</si>
  <si>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</si>
  <si>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</si>
  <si>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</si>
  <si>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</si>
  <si>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</si>
  <si>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</si>
  <si>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</si>
  <si>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</si>
  <si>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</si>
  <si>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</si>
  <si>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</si>
  <si>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</si>
  <si>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</si>
  <si>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</si>
  <si>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</si>
  <si>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</si>
  <si>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</si>
  <si>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</si>
  <si>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</si>
  <si>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</si>
  <si>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</si>
  <si>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</si>
  <si>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</si>
  <si>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</si>
  <si>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</si>
  <si>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</si>
  <si>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</si>
  <si>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</si>
  <si>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</si>
  <si>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</si>
  <si>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</si>
  <si>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</si>
  <si>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</si>
  <si>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</si>
  <si>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</si>
  <si>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</si>
  <si>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</si>
  <si>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</si>
  <si>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</si>
  <si>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</si>
  <si>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</si>
  <si>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</si>
  <si>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</si>
  <si>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</si>
  <si>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</si>
  <si>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</si>
  <si>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</si>
  <si>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</si>
  <si>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</si>
  <si>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</si>
  <si>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</si>
  <si>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</si>
  <si>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</si>
  <si>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</si>
  <si>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</si>
  <si>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</si>
  <si>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</si>
  <si>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</si>
  <si>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</si>
  <si>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</si>
  <si>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</si>
  <si>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</si>
  <si>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</si>
  <si>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</si>
  <si>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</si>
  <si>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</si>
  <si>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</si>
  <si>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</si>
  <si>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</si>
  <si>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</si>
  <si>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</si>
  <si>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</si>
  <si>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</si>
  <si>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</si>
  <si>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</si>
  <si>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</si>
  <si>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</si>
  <si>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</si>
  <si>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</si>
  <si>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</si>
  <si>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</si>
  <si>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</si>
  <si>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</si>
  <si>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</si>
  <si>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</si>
  <si>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</si>
  <si>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</si>
  <si>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</si>
  <si>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</si>
  <si>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</si>
  <si>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</si>
  <si>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</si>
  <si>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</si>
  <si>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</si>
  <si>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</si>
  <si>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</si>
  <si>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</si>
  <si>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</si>
  <si>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</si>
  <si>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</si>
  <si>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</si>
  <si>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</si>
  <si>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</si>
  <si>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</si>
  <si>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</si>
  <si>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</si>
  <si>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</si>
  <si>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</si>
  <si>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</si>
  <si>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</si>
  <si>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</si>
  <si>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</si>
  <si>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</si>
  <si>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</si>
  <si>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</si>
  <si>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</si>
  <si>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</si>
  <si>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</si>
  <si>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</si>
  <si>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</si>
  <si>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</si>
  <si>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</si>
  <si>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</si>
  <si>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</si>
  <si>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</si>
  <si>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</si>
  <si>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</si>
  <si>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</si>
  <si>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</si>
  <si>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</si>
  <si>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</si>
  <si>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</si>
  <si>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</si>
  <si>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</si>
  <si>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</si>
  <si>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</si>
  <si>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</si>
  <si>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</si>
  <si>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</si>
  <si>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</si>
  <si>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</si>
  <si>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</si>
  <si>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</si>
  <si>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</si>
  <si>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</si>
  <si>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</si>
  <si>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</si>
  <si>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</si>
  <si>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</si>
  <si>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</si>
  <si>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</si>
  <si>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</si>
  <si>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</si>
  <si>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</si>
  <si>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</si>
  <si>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</si>
  <si>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</si>
  <si>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</si>
  <si>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</si>
  <si>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</si>
  <si>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</si>
  <si>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</si>
  <si>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</si>
  <si>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</si>
  <si>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</si>
  <si>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</si>
  <si>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</si>
  <si>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</si>
  <si>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</si>
  <si>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</si>
  <si>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</si>
  <si>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</si>
  <si>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</si>
  <si>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</si>
  <si>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</si>
  <si>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</si>
  <si>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</si>
  <si>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</si>
  <si>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</si>
  <si>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</si>
  <si>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</si>
  <si>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</si>
  <si>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</si>
  <si>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</si>
  <si>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</si>
  <si>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</si>
  <si>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</si>
  <si>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</si>
  <si>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</si>
  <si>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</si>
  <si>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</si>
  <si>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</si>
  <si>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</si>
  <si>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</si>
  <si>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</si>
  <si>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</si>
  <si>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</si>
  <si>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</si>
  <si>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</si>
  <si>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</si>
  <si>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</si>
  <si>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</si>
  <si>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</si>
  <si>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</si>
  <si>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</si>
  <si>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</si>
  <si>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</si>
  <si>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</si>
  <si>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</si>
  <si>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</si>
  <si>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</si>
  <si>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</si>
  <si>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</si>
  <si>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</si>
  <si>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</si>
  <si>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</si>
  <si>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</si>
  <si>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</si>
  <si>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</si>
  <si>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</si>
  <si>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</si>
  <si>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</si>
  <si>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</si>
  <si>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</si>
  <si>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</si>
  <si>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</si>
  <si>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</si>
  <si>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</si>
  <si>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</si>
  <si>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</si>
  <si>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</si>
  <si>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</si>
  <si>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</si>
  <si>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</si>
  <si>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</si>
  <si>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</si>
  <si>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</si>
  <si>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</si>
  <si>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</si>
  <si>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</si>
  <si>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</si>
  <si>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</si>
  <si>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</si>
  <si>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</si>
  <si>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</si>
  <si>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</si>
  <si>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</si>
  <si>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</si>
  <si>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</si>
  <si>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</si>
  <si>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</si>
  <si>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</si>
  <si>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</si>
  <si>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</si>
  <si>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</si>
  <si>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</si>
  <si>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</si>
  <si>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</si>
  <si>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</si>
  <si>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</si>
  <si>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</si>
  <si>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</si>
  <si>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</si>
  <si>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</si>
  <si>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</si>
  <si>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</si>
  <si>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</si>
  <si>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</si>
  <si>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</si>
  <si>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</si>
  <si>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</si>
  <si>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</si>
  <si>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</si>
  <si>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</si>
  <si>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</si>
  <si>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</si>
  <si>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</si>
  <si>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</si>
  <si>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</si>
  <si>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</si>
  <si>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</si>
  <si>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</si>
  <si>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</si>
  <si>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</si>
  <si>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</si>
  <si>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</si>
  <si>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</si>
  <si>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</si>
  <si>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</si>
  <si>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</si>
  <si>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</si>
  <si>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</si>
  <si>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</si>
  <si>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</si>
  <si>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</si>
  <si>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</si>
  <si>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</si>
  <si>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</si>
  <si>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</si>
  <si>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</si>
  <si>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</si>
  <si>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</si>
  <si>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</si>
  <si>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</si>
  <si>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</si>
  <si>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</si>
  <si>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</si>
  <si>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</si>
  <si>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</si>
  <si>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</si>
  <si>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</si>
  <si>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</si>
  <si>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</si>
  <si>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</si>
  <si>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</si>
  <si>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</si>
  <si>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</si>
  <si>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</si>
  <si>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</si>
  <si>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</si>
  <si>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</si>
  <si>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</si>
  <si>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</si>
  <si>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</si>
  <si>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</si>
  <si>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</si>
  <si>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</si>
  <si>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</si>
  <si>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</si>
  <si>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</si>
  <si>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</si>
  <si>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</si>
  <si>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</si>
  <si>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</si>
  <si>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</si>
  <si>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</si>
  <si>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</si>
  <si>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</si>
  <si>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</si>
  <si>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</si>
  <si>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</si>
  <si>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</si>
  <si>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</si>
  <si>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</si>
  <si>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</si>
  <si>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</si>
  <si>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</si>
  <si>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</si>
  <si>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</si>
  <si>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</si>
  <si>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</si>
  <si>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</si>
  <si>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</si>
  <si>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</si>
  <si>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</si>
  <si>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</si>
  <si>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</si>
  <si>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</si>
  <si>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</si>
  <si>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</si>
  <si>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</si>
  <si>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</si>
  <si>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</si>
  <si>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</si>
  <si>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</si>
  <si>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</si>
  <si>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</si>
  <si>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</si>
  <si>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</si>
  <si>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</si>
  <si>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</si>
  <si>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</si>
  <si>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</si>
  <si>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</si>
  <si>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</si>
  <si>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</si>
  <si>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</si>
  <si>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</si>
  <si>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</si>
  <si>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</si>
  <si>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</si>
  <si>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</si>
  <si>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</si>
  <si>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</si>
  <si>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</si>
  <si>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</si>
  <si>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</si>
  <si>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</si>
  <si>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</si>
  <si>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</si>
  <si>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</si>
  <si>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</si>
  <si>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</si>
  <si>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</si>
  <si>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</si>
  <si>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</si>
  <si>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</si>
  <si>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</si>
  <si>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</si>
  <si>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</si>
  <si>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</si>
  <si>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</si>
  <si>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</si>
  <si>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</si>
  <si>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</si>
  <si>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</si>
  <si>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</si>
  <si>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</si>
  <si>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</si>
  <si>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</si>
  <si>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</si>
  <si>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</si>
  <si>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</si>
  <si>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</si>
  <si>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</si>
  <si>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</si>
  <si>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</si>
  <si>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</si>
  <si>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</si>
  <si>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</si>
  <si>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</si>
  <si>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</si>
  <si>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</si>
  <si>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</si>
  <si>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</si>
  <si>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</si>
  <si>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</si>
  <si>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</si>
  <si>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</si>
  <si>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</si>
  <si>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</si>
  <si>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</si>
  <si>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</si>
  <si>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</si>
  <si>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</si>
  <si>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</si>
  <si>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</si>
  <si>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</si>
  <si>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</si>
  <si>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</si>
  <si>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</si>
  <si>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</si>
  <si>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</si>
  <si>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</si>
  <si>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</si>
  <si>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</si>
  <si>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</si>
  <si>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</si>
  <si>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</si>
  <si>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</si>
  <si>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</si>
  <si>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</si>
  <si>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</si>
  <si>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</si>
  <si>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</si>
  <si>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</si>
  <si>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</si>
  <si>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</si>
  <si>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</si>
  <si>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</si>
  <si>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</si>
  <si>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</si>
  <si>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</si>
  <si>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</si>
  <si>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</si>
  <si>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</si>
  <si>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</si>
  <si>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</si>
  <si>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</si>
  <si>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</si>
  <si>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</si>
  <si>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</si>
  <si>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</si>
  <si>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</si>
  <si>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</si>
  <si>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</si>
  <si>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</si>
  <si>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</si>
  <si>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</si>
  <si>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</si>
  <si>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</si>
  <si>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</si>
  <si>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</si>
  <si>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</si>
  <si>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</si>
  <si>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</si>
  <si>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</si>
  <si>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</si>
  <si>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</si>
  <si>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</si>
  <si>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</si>
  <si>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</si>
  <si>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</si>
  <si>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</si>
  <si>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</si>
  <si>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</si>
  <si>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</si>
  <si>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</si>
  <si>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</si>
  <si>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</si>
  <si>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</si>
  <si>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</si>
  <si>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</si>
  <si>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</si>
  <si>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</si>
  <si>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</si>
  <si>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</si>
  <si>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</si>
  <si>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</si>
  <si>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</si>
  <si>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</si>
  <si>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</si>
  <si>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</si>
  <si>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</si>
  <si>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</si>
  <si>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</si>
  <si>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</si>
  <si>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</si>
  <si>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</si>
  <si>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</si>
  <si>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</si>
  <si>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</si>
  <si>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</si>
  <si>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</si>
  <si>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</si>
  <si>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</si>
  <si>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</si>
  <si>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</si>
  <si>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</si>
  <si>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</si>
  <si>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</si>
  <si>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</si>
  <si>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</si>
  <si>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</si>
  <si>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</si>
  <si>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</si>
  <si>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</si>
  <si>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</si>
  <si>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</si>
  <si>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</si>
  <si>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</si>
  <si>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</si>
  <si>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</si>
  <si>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</si>
  <si>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</si>
  <si>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</si>
  <si>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</si>
  <si>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</si>
  <si>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</si>
  <si>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</si>
  <si>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</si>
  <si>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</si>
  <si>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</si>
  <si>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</si>
  <si>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</si>
  <si>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</si>
  <si>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</si>
  <si>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</si>
  <si>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</si>
  <si>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</si>
  <si>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</si>
  <si>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</si>
  <si>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</si>
  <si>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</si>
  <si>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</si>
  <si>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</si>
  <si>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</si>
  <si>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</si>
  <si>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</si>
  <si>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</si>
  <si>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</si>
  <si>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</si>
  <si>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</si>
  <si>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</si>
  <si>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</si>
  <si>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</si>
  <si>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</si>
  <si>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</si>
  <si>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</si>
  <si>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</si>
  <si>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</si>
  <si>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</si>
  <si>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</si>
  <si>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</si>
  <si>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</si>
  <si>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</si>
  <si>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</si>
  <si>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</si>
  <si>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</si>
  <si>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</si>
  <si>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</si>
  <si>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</si>
  <si>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</si>
  <si>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</si>
  <si>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</si>
  <si>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</si>
  <si>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</si>
  <si>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</si>
  <si>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</si>
  <si>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</si>
  <si>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</si>
  <si>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</si>
  <si>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</si>
  <si>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</si>
  <si>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</si>
  <si>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</si>
  <si>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</si>
  <si>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</si>
  <si>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</si>
  <si>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</si>
  <si>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</si>
  <si>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</si>
  <si>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</si>
  <si>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</si>
  <si>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</si>
  <si>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</si>
  <si>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</si>
  <si>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</si>
  <si>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</si>
  <si>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</si>
  <si>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</si>
  <si>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</si>
  <si>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</si>
  <si>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</si>
  <si>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</si>
  <si>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</si>
  <si>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</si>
  <si>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</si>
  <si>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</si>
  <si>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</si>
  <si>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</si>
  <si>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</si>
  <si>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</si>
  <si>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</si>
  <si>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</si>
  <si>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</si>
  <si>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</si>
  <si>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</si>
  <si>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</si>
  <si>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</si>
  <si>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</si>
  <si>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</si>
  <si>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</si>
  <si>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</si>
  <si>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</si>
  <si>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</si>
  <si>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</si>
  <si>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</si>
  <si>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</si>
  <si>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</si>
  <si>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</si>
  <si>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</si>
  <si>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</si>
  <si>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</si>
  <si>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</si>
  <si>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</si>
  <si>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</si>
  <si>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</si>
  <si>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</si>
  <si>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</si>
  <si>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</si>
  <si>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</si>
  <si>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</si>
  <si>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</si>
  <si>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</si>
  <si>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</si>
  <si>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</si>
  <si>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</si>
  <si>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</si>
  <si>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</si>
  <si>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</si>
  <si>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</si>
  <si>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</si>
  <si>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</si>
  <si>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</si>
  <si>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</si>
  <si>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</si>
  <si>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</si>
  <si>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</si>
  <si>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</si>
  <si>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</si>
  <si>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</si>
  <si>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</si>
  <si>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</si>
  <si>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</si>
  <si>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</si>
  <si>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</si>
  <si>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</si>
  <si>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</si>
  <si>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</si>
  <si>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</si>
  <si>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</si>
  <si>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</si>
  <si>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</si>
  <si>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</si>
  <si>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</si>
  <si>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</si>
  <si>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</si>
  <si>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</si>
  <si>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</si>
  <si>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</si>
  <si>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</si>
  <si>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</si>
  <si>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</si>
  <si>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</si>
  <si>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</si>
  <si>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</si>
  <si>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</si>
  <si>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</si>
  <si>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</si>
  <si>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</si>
  <si>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</si>
  <si>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</si>
  <si>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</si>
  <si>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</si>
  <si>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</si>
  <si>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</si>
  <si>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</si>
  <si>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</si>
  <si>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</si>
  <si>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</si>
  <si>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</si>
  <si>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</si>
  <si>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</si>
  <si>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</si>
  <si>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</si>
  <si>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</si>
  <si>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</si>
  <si>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</si>
  <si>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</si>
  <si>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</si>
  <si>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</si>
  <si>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</si>
  <si>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</si>
  <si>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</si>
  <si>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</si>
  <si>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</si>
  <si>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</si>
  <si>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</si>
  <si>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</si>
  <si>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</si>
  <si>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</si>
  <si>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</si>
  <si>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</si>
  <si>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</si>
  <si>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</si>
  <si>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</si>
  <si>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</si>
  <si>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</si>
  <si>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</si>
  <si>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</si>
  <si>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</si>
  <si>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</si>
  <si>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</si>
  <si>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</si>
  <si>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</si>
  <si>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</si>
  <si>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</si>
  <si>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</si>
  <si>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</si>
  <si>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</si>
  <si>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</si>
  <si>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</si>
  <si>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</si>
  <si>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</si>
  <si>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</si>
  <si>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</si>
  <si>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</si>
  <si>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</si>
  <si>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</si>
  <si>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</si>
  <si>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</si>
  <si>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</si>
  <si>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</si>
  <si>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</si>
  <si>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</si>
  <si>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</si>
  <si>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</si>
  <si>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</si>
  <si>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</si>
  <si>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</si>
  <si>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</si>
  <si>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</si>
  <si>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</si>
  <si>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</si>
  <si>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</si>
  <si>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</si>
  <si>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</si>
  <si>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</si>
  <si>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</si>
  <si>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</si>
  <si>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</si>
  <si>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</si>
  <si>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</si>
  <si>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</si>
  <si>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</si>
  <si>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</si>
  <si>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</si>
  <si>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</si>
  <si>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</si>
  <si>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</si>
  <si>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</si>
  <si>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</si>
  <si>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</si>
  <si>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</si>
  <si>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</si>
  <si>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</si>
  <si>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</si>
  <si>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</si>
  <si>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</si>
  <si>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</si>
  <si>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</si>
  <si>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</si>
  <si>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</si>
  <si>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</si>
  <si>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</si>
  <si>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</si>
  <si>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</si>
  <si>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</si>
  <si>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</si>
  <si>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</si>
  <si>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</si>
  <si>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</si>
  <si>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</si>
  <si>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</si>
  <si>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</si>
  <si>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</si>
  <si>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</si>
  <si>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</si>
  <si>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</si>
  <si>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</si>
  <si>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</si>
  <si>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</si>
  <si>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</si>
  <si>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</si>
  <si>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</si>
  <si>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</si>
  <si>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</si>
  <si>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</si>
  <si>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</si>
  <si>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</si>
  <si>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</si>
  <si>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</si>
  <si>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</si>
  <si>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</si>
  <si>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</si>
  <si>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</si>
  <si>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</si>
  <si>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</si>
  <si>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</si>
  <si>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</si>
  <si>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</si>
  <si>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</si>
  <si>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</si>
  <si>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</si>
  <si>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</si>
  <si>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</si>
  <si>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</si>
  <si>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</si>
  <si>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</si>
  <si>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</si>
  <si>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</si>
  <si>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</si>
  <si>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</si>
  <si>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</si>
  <si>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</si>
  <si>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</si>
  <si>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</si>
  <si>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</si>
  <si>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</si>
  <si>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</si>
  <si>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</si>
  <si>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</si>
  <si>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</si>
  <si>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</si>
  <si>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</si>
  <si>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</si>
  <si>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</si>
  <si>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</si>
  <si>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</si>
  <si>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</si>
  <si>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</si>
  <si>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</si>
  <si>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</si>
  <si>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</si>
  <si>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</si>
  <si>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</si>
  <si>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</si>
  <si>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</si>
  <si>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</si>
  <si>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</si>
  <si>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</si>
  <si>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</si>
  <si>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</si>
  <si>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</si>
  <si>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</si>
  <si>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</si>
  <si>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</si>
  <si>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</si>
  <si>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</si>
  <si>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</si>
  <si>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</si>
  <si>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</si>
  <si>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</si>
  <si>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</si>
  <si>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</si>
  <si>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</si>
  <si>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</si>
  <si>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</si>
  <si>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</si>
  <si>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</si>
  <si>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</si>
  <si>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</si>
  <si>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</si>
  <si>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</si>
  <si>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</si>
  <si>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</si>
  <si>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</si>
  <si>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</si>
  <si>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</si>
  <si>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</si>
  <si>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</si>
  <si>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</si>
  <si>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</si>
  <si>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</si>
  <si>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</si>
  <si>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</si>
  <si>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</si>
  <si>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</si>
  <si>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</si>
  <si>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</si>
  <si>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</si>
  <si>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</si>
  <si>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</si>
  <si>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</si>
  <si>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</si>
  <si>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</si>
  <si>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</si>
  <si>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</si>
  <si>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</si>
  <si>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</si>
  <si>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</si>
  <si>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</si>
  <si>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</si>
  <si>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</si>
  <si>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</si>
  <si>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</si>
  <si>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</si>
  <si>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</si>
  <si>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</si>
  <si>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</si>
  <si>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</si>
  <si>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</si>
  <si>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</si>
  <si>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</si>
  <si>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</si>
  <si>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</si>
  <si>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</si>
  <si>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</si>
  <si>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</si>
  <si>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</si>
  <si>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</si>
  <si>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</si>
  <si>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</si>
  <si>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</si>
  <si>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</si>
  <si>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</si>
  <si>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</si>
  <si>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</si>
  <si>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</si>
  <si>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</si>
  <si>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</si>
  <si>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</si>
  <si>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</si>
  <si>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</si>
  <si>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</si>
  <si>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</si>
  <si>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</si>
  <si>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</si>
  <si>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</si>
  <si>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</si>
  <si>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</si>
  <si>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</si>
  <si>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</si>
  <si>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</si>
  <si>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</si>
  <si>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</si>
  <si>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</si>
  <si>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</si>
  <si>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</si>
  <si>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</si>
  <si>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</si>
  <si>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</si>
  <si>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</si>
  <si>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</si>
  <si>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</si>
  <si>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</si>
  <si>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</si>
  <si>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</si>
  <si>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</si>
  <si>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</si>
  <si>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</si>
  <si>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</si>
  <si>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</si>
  <si>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</si>
  <si>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</si>
  <si>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</si>
  <si>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</si>
  <si>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</si>
  <si>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</si>
  <si>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</si>
  <si>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</si>
  <si>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</si>
  <si>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</si>
  <si>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</si>
  <si>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</si>
  <si>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</si>
  <si>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</si>
  <si>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</si>
  <si>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</si>
  <si>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</si>
  <si>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</si>
  <si>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</si>
  <si>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</si>
  <si>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</si>
  <si>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</si>
  <si>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</si>
  <si>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</si>
  <si>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</si>
  <si>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</si>
  <si>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</si>
  <si>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</si>
  <si>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</si>
  <si>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</si>
  <si>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</si>
  <si>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</si>
  <si>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</si>
  <si>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</si>
  <si>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</si>
  <si>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</si>
  <si>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</si>
  <si>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</si>
  <si>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</si>
  <si>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</si>
  <si>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</si>
  <si>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</si>
  <si>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</si>
  <si>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</si>
  <si>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</si>
  <si>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</si>
  <si>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</si>
  <si>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</si>
  <si>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</si>
  <si>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</si>
  <si>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</si>
  <si>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</si>
  <si>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</si>
  <si>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</si>
  <si>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</si>
  <si>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</si>
  <si>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</si>
  <si>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</si>
  <si>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</si>
  <si>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</si>
  <si>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</si>
  <si>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</si>
  <si>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</si>
  <si>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</si>
  <si>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</si>
  <si>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</si>
  <si>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</si>
  <si>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</si>
  <si>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</si>
  <si>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</si>
  <si>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</si>
  <si>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</si>
  <si>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</si>
  <si>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</si>
  <si>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</si>
  <si>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</si>
  <si>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</si>
  <si>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</si>
  <si>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</si>
  <si>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</si>
  <si>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</si>
  <si>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</si>
  <si>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</si>
  <si>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</si>
  <si>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</si>
  <si>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</si>
  <si>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</si>
  <si>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</si>
  <si>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</si>
  <si>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</si>
  <si>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</si>
  <si>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</si>
  <si>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</si>
  <si>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</si>
  <si>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</si>
  <si>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</si>
  <si>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</si>
  <si>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</si>
  <si>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</si>
  <si>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</si>
  <si>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</si>
  <si>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</si>
  <si>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</si>
  <si>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</si>
  <si>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</si>
  <si>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</si>
  <si>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</si>
  <si>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</si>
  <si>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</si>
  <si>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</si>
  <si>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</si>
  <si>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</si>
  <si>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</si>
  <si>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</si>
  <si>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</si>
  <si>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</si>
  <si>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</si>
  <si>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</si>
  <si>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</si>
  <si>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</si>
  <si>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</si>
  <si>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</si>
  <si>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</si>
  <si>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</si>
  <si>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</si>
  <si>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</si>
  <si>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</si>
  <si>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</si>
  <si>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</si>
  <si>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</si>
  <si>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</si>
  <si>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</si>
  <si>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</si>
  <si>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</si>
  <si>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</si>
  <si>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</si>
  <si>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</si>
  <si>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</si>
  <si>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</si>
  <si>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</si>
  <si>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</si>
  <si>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</si>
  <si>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</si>
  <si>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</si>
  <si>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</si>
  <si>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</si>
  <si>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</si>
  <si>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</si>
  <si>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</si>
  <si>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</si>
  <si>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</si>
  <si>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</si>
  <si>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</si>
  <si>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</si>
  <si>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</si>
  <si>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</si>
  <si>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</si>
  <si>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</si>
  <si>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</si>
  <si>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</si>
  <si>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</si>
  <si>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</si>
  <si>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</si>
  <si>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</si>
  <si>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</si>
  <si>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</si>
  <si>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</si>
  <si>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</si>
  <si>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</si>
  <si>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</si>
  <si>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</si>
  <si>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</si>
  <si>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</si>
  <si>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</si>
  <si>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</si>
  <si>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</si>
  <si>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</si>
  <si>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</si>
  <si>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</si>
  <si>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</si>
  <si>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</si>
  <si>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</si>
  <si>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</si>
  <si>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</si>
  <si>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</si>
  <si>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</si>
  <si>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</si>
  <si>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</si>
  <si>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</si>
  <si>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</si>
  <si>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</si>
  <si>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</si>
  <si>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</si>
  <si>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</si>
  <si>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</si>
  <si>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</si>
  <si>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</si>
  <si>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</si>
  <si>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</si>
  <si>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</si>
  <si>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</si>
  <si>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</si>
  <si>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</si>
  <si>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</si>
  <si>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</si>
  <si>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</si>
  <si>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</si>
  <si>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</si>
  <si>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</si>
  <si>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</si>
  <si>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</si>
  <si>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</si>
  <si>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</si>
  <si>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</si>
  <si>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</si>
  <si>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</si>
  <si>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</si>
  <si>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</si>
  <si>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</si>
  <si>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</si>
  <si>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</si>
  <si>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</si>
  <si>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</si>
  <si>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</si>
  <si>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</si>
  <si>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</si>
  <si>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</si>
  <si>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</si>
  <si>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</si>
  <si>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</si>
  <si>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</si>
  <si>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</si>
  <si>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</si>
  <si>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</si>
  <si>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</si>
  <si>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</si>
  <si>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</si>
  <si>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</si>
  <si>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</si>
  <si>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</si>
  <si>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</si>
  <si>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</si>
  <si>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</si>
  <si>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</si>
  <si>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</si>
  <si>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</si>
  <si>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</si>
  <si>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</si>
  <si>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</si>
  <si>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</si>
  <si>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</si>
  <si>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</si>
  <si>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</si>
  <si>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</si>
  <si>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</si>
  <si>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</si>
  <si>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</si>
  <si>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</si>
  <si>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</si>
  <si>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</si>
  <si>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</si>
  <si>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</si>
  <si>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</si>
  <si>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</si>
  <si>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</si>
  <si>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</si>
  <si>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</si>
  <si>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</si>
  <si>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</si>
  <si>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</si>
  <si>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</si>
  <si>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</si>
  <si>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</si>
  <si>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</si>
  <si>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</si>
  <si>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</si>
  <si>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</si>
  <si>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</si>
  <si>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</si>
  <si>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</si>
  <si>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</si>
  <si>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</si>
  <si>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</si>
  <si>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</si>
  <si>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</si>
  <si>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</si>
  <si>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</si>
  <si>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</si>
  <si>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</si>
  <si>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</si>
  <si>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</si>
  <si>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</si>
  <si>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</si>
  <si>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</si>
  <si>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</si>
  <si>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</si>
  <si>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</si>
  <si>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</si>
  <si>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</si>
  <si>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</si>
  <si>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</si>
  <si>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</si>
  <si>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</si>
  <si>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</si>
  <si>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</si>
  <si>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</si>
  <si>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</si>
  <si>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</si>
  <si>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</si>
  <si>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</si>
  <si>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</si>
  <si>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</si>
  <si>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</si>
  <si>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</si>
  <si>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</si>
  <si>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</si>
  <si>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</si>
  <si>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</si>
  <si>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</si>
  <si>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</si>
  <si>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</si>
  <si>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</si>
  <si>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</si>
  <si>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</si>
  <si>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</si>
  <si>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</si>
  <si>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</si>
  <si>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</si>
  <si>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</si>
  <si>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</si>
  <si>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</si>
  <si>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</si>
  <si>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</si>
  <si>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</si>
  <si>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</si>
  <si>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</si>
  <si>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</si>
  <si>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</si>
  <si>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</si>
  <si>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</si>
  <si>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</si>
  <si>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</si>
  <si>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</si>
  <si>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</si>
  <si>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</si>
  <si>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</si>
  <si>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</si>
  <si>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</si>
  <si>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</si>
  <si>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</si>
  <si>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</si>
  <si>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</si>
  <si>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</si>
  <si>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</si>
  <si>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</si>
  <si>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</si>
  <si>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</si>
  <si>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</si>
  <si>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</si>
  <si>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</si>
  <si>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VENIA</t>
  </si>
  <si>
    <t>SILEDE SATYRO DE SA RIBEIRO</t>
  </si>
  <si>
    <t>MIRELLA</t>
  </si>
  <si>
    <t>JOSE GOMES MACHADO</t>
  </si>
  <si>
    <t>MERG</t>
  </si>
  <si>
    <t>ANA CAROLINA PEIXOTO DE CASTRO MARTINS</t>
  </si>
  <si>
    <t>MSD</t>
  </si>
  <si>
    <t>BRUNO SARTORIO SILVA</t>
  </si>
  <si>
    <t>LAURA</t>
  </si>
  <si>
    <t>JOSE SILVAN DE AMORIM</t>
  </si>
  <si>
    <t>MARCELO BOTTON PICCIN</t>
  </si>
  <si>
    <t>GILSON</t>
  </si>
  <si>
    <t>LEONARDO STRAUCH PEREIRA COUTINHO</t>
  </si>
  <si>
    <t>NASSIM</t>
  </si>
  <si>
    <t>JOAO VICTOR DE MOURA BEZE</t>
  </si>
  <si>
    <t>ANDRE</t>
  </si>
  <si>
    <t>RUBENS MAZER JUNIOR</t>
  </si>
  <si>
    <t>JOSE AUGUSTO PORTO FERREIRA</t>
  </si>
  <si>
    <t>NIVALDO</t>
  </si>
  <si>
    <t>TATIANA MENEZES FONSECA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</si>
  <si>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</si>
  <si>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</si>
  <si>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</si>
  <si>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</si>
  <si>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</si>
  <si>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</si>
  <si>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REGINA COELI CORREA SOARES</t>
  </si>
  <si>
    <t>HEPTA</t>
  </si>
  <si>
    <t>FILIPE</t>
  </si>
  <si>
    <t>ROSEMIR MIRANDA DA SILVA</t>
  </si>
  <si>
    <t>LEVI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</si>
  <si>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</si>
  <si>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</si>
  <si>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</si>
  <si>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</si>
  <si>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</si>
  <si>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</si>
  <si>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</si>
  <si>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</si>
  <si>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</si>
  <si>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</si>
  <si>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GUILHERME</t>
  </si>
  <si>
    <t>MARCELO FERNANDES MADALENA</t>
  </si>
  <si>
    <t>JORGE</t>
  </si>
  <si>
    <t>EDMUNDO STARLING LOUREIRO FRANCA</t>
  </si>
  <si>
    <t>MOACIR</t>
  </si>
  <si>
    <t>MARCELO DE OLIVEIRA MAIA</t>
  </si>
  <si>
    <t>MONICA</t>
  </si>
  <si>
    <t>AMANDA GABRIELE DO NASCIMENTO VIDAL</t>
  </si>
  <si>
    <t>ROSANE INEZ PILONI</t>
  </si>
  <si>
    <t>MARCELO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</si>
  <si>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</si>
  <si>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</si>
  <si>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</si>
  <si>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</si>
  <si>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</si>
  <si>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</si>
  <si>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</si>
  <si>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</si>
  <si>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</si>
  <si>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</si>
  <si>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</si>
  <si>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</si>
  <si>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</si>
  <si>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</si>
  <si>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</si>
  <si>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WALQUIRIA</t>
  </si>
  <si>
    <t>PATRICIA FERREIRA WANDERLEY DE SIQUEIRA</t>
  </si>
  <si>
    <t>CLAUDIA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</si>
  <si>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</si>
  <si>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</si>
  <si>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</si>
  <si>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</si>
  <si>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</si>
  <si>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</si>
  <si>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</si>
  <si>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</si>
  <si>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</si>
  <si>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</si>
  <si>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</si>
  <si>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VINICIUS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</si>
  <si>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</si>
  <si>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</si>
  <si>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</si>
  <si>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</si>
  <si>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</si>
  <si>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</si>
  <si>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</si>
  <si>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</si>
  <si>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</si>
  <si>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</si>
  <si>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F</t>
  </si>
  <si>
    <t>IMC CONSTRUCOES - LTDA</t>
  </si>
  <si>
    <t>LILIAN GONCALVES CURY</t>
  </si>
  <si>
    <t>HELIO</t>
  </si>
  <si>
    <t>CLARISSA ARAUJO SILVA</t>
  </si>
  <si>
    <t>MAFALDA ROSA MONACO</t>
  </si>
  <si>
    <t>HENRIQUE</t>
  </si>
  <si>
    <t>ANNA CAROLINA ROCHA GAMA</t>
  </si>
  <si>
    <t>AFONSO FRANKLIN MEIRELES DE ARAUJO</t>
  </si>
  <si>
    <t>CLOTILDE</t>
  </si>
  <si>
    <t>VALESUL JOIAS EIRELI</t>
  </si>
  <si>
    <t>ROGERIO</t>
  </si>
  <si>
    <t>MATHEUS HENRIQUE COSTA MAIA</t>
  </si>
  <si>
    <t>PAULO ROBERTO MALMONGE</t>
  </si>
  <si>
    <t>KELLY</t>
  </si>
  <si>
    <t>CINTIA UCHIDA RODRIGUES</t>
  </si>
  <si>
    <t>FABIANO</t>
  </si>
  <si>
    <t>ARTHUR CAIRES MAIA</t>
  </si>
  <si>
    <t>JOVINO</t>
  </si>
  <si>
    <t>CAROLLINA PEDROSA VIEIRA LIMA</t>
  </si>
  <si>
    <t>LUCIENE</t>
  </si>
  <si>
    <t>MARIA DAS GRACAS DA SILVA PIRES</t>
  </si>
  <si>
    <t>SYLVERSON</t>
  </si>
  <si>
    <t>CAIOCO SAKURAGUI</t>
  </si>
  <si>
    <t>CLINEO</t>
  </si>
  <si>
    <t>FERNANDO ALVES VIEIRA</t>
  </si>
  <si>
    <t>ROBERTO CASTELO BRANCO CARNEIRO DE ALBUQUERQUE</t>
  </si>
  <si>
    <t>VALDIVINO</t>
  </si>
  <si>
    <t>ROBERTO SOARES SACRAMENTO</t>
  </si>
  <si>
    <t>PATRICIA</t>
  </si>
  <si>
    <t>LUCA DIAS BUENO</t>
  </si>
  <si>
    <t>BRUNA THOME RASSI</t>
  </si>
  <si>
    <t>ANDREA</t>
  </si>
  <si>
    <t>JOAO PEDRO PINTO CORDEIRO DE MIRANDA COUTINHO</t>
  </si>
  <si>
    <t>SIMONE DE LUCA LIU</t>
  </si>
  <si>
    <t>LAGO</t>
  </si>
  <si>
    <t>ANILSON ALVES DE SOUSA JUNIOR</t>
  </si>
  <si>
    <t>FELIPE</t>
  </si>
  <si>
    <t>ROSAMAR FERREIRA GALVAO</t>
  </si>
  <si>
    <t>LUIS FILLIPE BEZERRA LIMA</t>
  </si>
  <si>
    <t>RAUNI LAMARO LIMA</t>
  </si>
  <si>
    <t>GISELA</t>
  </si>
  <si>
    <t>AGROINDUSTRIA DE ALIMENTOS AVESUI LTDA</t>
  </si>
  <si>
    <t>DAISY ENI MORAIS DOS SANTOS</t>
  </si>
  <si>
    <t>ALESSANDRA</t>
  </si>
  <si>
    <t>GABRIEL OLIVEIRA PAIXAO RODRIGUES DA SILVA</t>
  </si>
  <si>
    <t>GUSTAVO</t>
  </si>
  <si>
    <t>RITA APARECIDA PASSOS VILLAR</t>
  </si>
  <si>
    <t>GLEYSERSON</t>
  </si>
  <si>
    <t>PAULO HENRIQUE DE FREITAS MIRANDA</t>
  </si>
  <si>
    <t>DANIELY MARCAL SILVINO DE BRITO</t>
  </si>
  <si>
    <t>MARIA SOCORRO RODRIGUES</t>
  </si>
  <si>
    <t>BLOCO</t>
  </si>
  <si>
    <t>SERGIO DE RESENDE LOPES</t>
  </si>
  <si>
    <t>EMILIA</t>
  </si>
  <si>
    <t>HENRIQUE FERNANDO CAMPOS MARQUES</t>
  </si>
  <si>
    <t>LUCYENE DOS SANTOS BORGES</t>
  </si>
  <si>
    <t>CELSO FLAVIO BALDOTTO COVRE</t>
  </si>
  <si>
    <t>MINEIA</t>
  </si>
  <si>
    <t>SUZY RORIZ DOS SANTOS</t>
  </si>
  <si>
    <t>HELENA</t>
  </si>
  <si>
    <t>FELIPE EDUARDO HATSUMURA</t>
  </si>
  <si>
    <t>MARCEL</t>
  </si>
  <si>
    <t>FLASH CAR LUBRIFICANTES E FILTROS LTDA</t>
  </si>
  <si>
    <t>SILVIA</t>
  </si>
  <si>
    <t>ADRIANA LAUS DE AQUINO</t>
  </si>
  <si>
    <t>NATHALIA</t>
  </si>
  <si>
    <t>FABIO RICAS DE ARAUJO</t>
  </si>
  <si>
    <t>ROSANA RENAUD GOPFERT ALBUQUERQUE</t>
  </si>
  <si>
    <t>HELOISA</t>
  </si>
  <si>
    <t>GABRIEL CAMPOS SOARES DA FONSECA</t>
  </si>
  <si>
    <t>ROSANGELA</t>
  </si>
  <si>
    <t>FREDERICO ASSAD ANDRADE</t>
  </si>
  <si>
    <t>SILVIO CARLOS SANDRE JUNIOR</t>
  </si>
  <si>
    <t>ELEUSE</t>
  </si>
  <si>
    <t>RICARDO</t>
  </si>
  <si>
    <t>OLIVEIRA DE PAULA SOCIEDADE INDIVIDUAL DE ADVOCACIA</t>
  </si>
  <si>
    <t>MATEUS</t>
  </si>
  <si>
    <t>WLADMIR RAMALHO OSORIO SILVA</t>
  </si>
  <si>
    <t>CAIO CHAVES MORAU</t>
  </si>
  <si>
    <t>DIEGO</t>
  </si>
  <si>
    <t>PEDRO DE MELLO VIANNA PEDROSA GALVAO</t>
  </si>
  <si>
    <t>TIAGO</t>
  </si>
  <si>
    <t>ARIENE MARIA VIMIEIRO SAABOR</t>
  </si>
  <si>
    <t>VR</t>
  </si>
  <si>
    <t>FRANKLIN DELANO CHOAIRY DE ABREU</t>
  </si>
  <si>
    <t>ALBERTO</t>
  </si>
  <si>
    <t>EDUARDO LACERDA TIBURTIUS</t>
  </si>
  <si>
    <t>JORDANNA</t>
  </si>
  <si>
    <t>MATEUS ARGOLO LOPES CAMARGOS</t>
  </si>
  <si>
    <t>EMILSON</t>
  </si>
  <si>
    <t>MSD CONSTRUTORA E INCORPORADORA EIRELI</t>
  </si>
  <si>
    <t>CAIO</t>
  </si>
  <si>
    <t>JOSE CARLOS MAGALHAES PINTO</t>
  </si>
  <si>
    <t>EDINARDO</t>
  </si>
  <si>
    <t>ACHILLES CAPPELLESSO JUNIOR</t>
  </si>
  <si>
    <t>LARA</t>
  </si>
  <si>
    <t>MATEUS DA SILVA CANDIDO</t>
  </si>
  <si>
    <t>SAVIO</t>
  </si>
  <si>
    <t>MARCELO CAVALCANTE BARROS</t>
  </si>
  <si>
    <t>ELIANE</t>
  </si>
  <si>
    <t>JERONYMO NERY DO AMARAL</t>
  </si>
  <si>
    <t>JOAO</t>
  </si>
  <si>
    <t>GLEIDE SATYRO SALES</t>
  </si>
  <si>
    <t>NABOR</t>
  </si>
  <si>
    <t>MARCOS AUGUSTO DO NASCIMENTO VIDAL</t>
  </si>
  <si>
    <t>HEMAT</t>
  </si>
  <si>
    <t>LUCIANA</t>
  </si>
  <si>
    <t>MARCELO KANITZ</t>
  </si>
  <si>
    <t>ANILSON</t>
  </si>
  <si>
    <t>RACHEL ARAUJO CAMPOS RAMOS</t>
  </si>
  <si>
    <t>HEITOR</t>
  </si>
  <si>
    <t>JORGE GOMES DE ARAUJO</t>
  </si>
  <si>
    <t>PAULO</t>
  </si>
  <si>
    <t>NASSIM TALEB</t>
  </si>
  <si>
    <t>IVONE</t>
  </si>
  <si>
    <t>SILVIA RUTH PENALOZA DIEZ</t>
  </si>
  <si>
    <t>HELVECIO</t>
  </si>
  <si>
    <t>DURVAL SOBREIRO JUNIOR</t>
  </si>
  <si>
    <t>TATIANA</t>
  </si>
  <si>
    <t>SOLANGE ALVES DE MORAES MENDES</t>
  </si>
  <si>
    <t>AHMAD</t>
  </si>
  <si>
    <t>THAYSA ZAIA COSTA BARROS IUNES</t>
  </si>
  <si>
    <t>IRON LUIZ GOMES DOS REIS</t>
  </si>
  <si>
    <t>RACHEL</t>
  </si>
  <si>
    <t>ANGELICA ROCHA MADALENA MOTTA</t>
  </si>
  <si>
    <t>WALTER</t>
  </si>
  <si>
    <t>GILSON APOLINARIO ALENCAR</t>
  </si>
  <si>
    <t>CINTIA</t>
  </si>
  <si>
    <t>DANIELA JAIME SMITH</t>
  </si>
  <si>
    <t>FELIPE FARIA ZUBA</t>
  </si>
  <si>
    <t>ASIEL</t>
  </si>
  <si>
    <t>INES DE OLIVEIRA SANTOS RAPCHAN</t>
  </si>
  <si>
    <t>NINA</t>
  </si>
  <si>
    <t>ROGERIO OLIVA CORTEZ</t>
  </si>
  <si>
    <t>ELEUSE CARDOSO MACHADO CAVALCANTI</t>
  </si>
  <si>
    <t>LUDMILA</t>
  </si>
  <si>
    <t>SOFIA NEPOMUCENO GORINI</t>
  </si>
  <si>
    <t>LYLLE MARIA LEITE PUGLIESE</t>
  </si>
  <si>
    <t>RENATO</t>
  </si>
  <si>
    <t>JULIO VICENTE DE ALVARENGA</t>
  </si>
  <si>
    <t>LUIS</t>
  </si>
  <si>
    <t>WANDER LUCIO PRADO</t>
  </si>
  <si>
    <t>MAIRA</t>
  </si>
  <si>
    <t>IRONALDO JOSE DE SOUZA</t>
  </si>
  <si>
    <t>ERIK</t>
  </si>
  <si>
    <t>CAROLINE BASTOS DE SOUZA</t>
  </si>
  <si>
    <t>DIOCESMAR FELIPE DE FARIA</t>
  </si>
  <si>
    <t>CLAUDIO MARTINELLI FRANCA</t>
  </si>
  <si>
    <t>ADSON RODRIGUES DE SOUZA</t>
  </si>
  <si>
    <t>THIAGO</t>
  </si>
  <si>
    <t>MATTHEW PAZ CARVALHO</t>
  </si>
  <si>
    <t>MARCONDES</t>
  </si>
  <si>
    <t>ANGELA LUIZA DANTAS LEITE</t>
  </si>
  <si>
    <t>ALANA</t>
  </si>
  <si>
    <t>CARLOS HENRIQUE DE SOUZA</t>
  </si>
  <si>
    <t>SONIA</t>
  </si>
  <si>
    <t>MARIAH DAS GRACAS BARBOSA</t>
  </si>
  <si>
    <t>LUCYENE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</si>
  <si>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</si>
  <si>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</si>
  <si>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</si>
  <si>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</si>
  <si>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</si>
  <si>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</si>
  <si>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</si>
  <si>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</si>
  <si>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</si>
  <si>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</si>
  <si>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</si>
  <si>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</si>
  <si>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</si>
  <si>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</si>
  <si>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</si>
  <si>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</si>
  <si>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</si>
  <si>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GENESI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</si>
  <si>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</si>
  <si>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</si>
  <si>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</si>
  <si>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</si>
  <si>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</si>
  <si>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</si>
  <si>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</si>
  <si>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DARLAN</t>
  </si>
  <si>
    <t>HERNANE DA SILVA RIBEIRO</t>
  </si>
  <si>
    <t>LUANA</t>
  </si>
  <si>
    <t>CARLA AMELOTI GALVAO</t>
  </si>
  <si>
    <t>CEZAR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</si>
  <si>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</si>
  <si>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</si>
  <si>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</si>
  <si>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</si>
  <si>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</si>
  <si>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</si>
  <si>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ALINE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</si>
  <si>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</si>
  <si>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</si>
  <si>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</si>
  <si>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</si>
  <si>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</si>
  <si>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</si>
  <si>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ERICA</t>
  </si>
  <si>
    <t>THIAGO LUCAS LEITE DE NORONHA</t>
  </si>
  <si>
    <t>CATARINE</t>
  </si>
  <si>
    <t>ANANDA CABRAL LELIS BELEZA</t>
  </si>
  <si>
    <t>MARCELO JAIME FERREIRA</t>
  </si>
  <si>
    <t>LARISSA WEBER GOMES REIS</t>
  </si>
  <si>
    <t>NEILA</t>
  </si>
  <si>
    <t>CAIO CESAR DAMITTO ROSA</t>
  </si>
  <si>
    <t>AYRTON</t>
  </si>
  <si>
    <t>JOAO RAFAEL DE SOUZA PUGLIA</t>
  </si>
  <si>
    <t>VALERIA</t>
  </si>
  <si>
    <t>PATRICIA DA CONCEICAO ALVES MENDES</t>
  </si>
  <si>
    <t>CRISTINA</t>
  </si>
  <si>
    <t>ARMANDO SILVEIRA MARTINS</t>
  </si>
  <si>
    <t>MARCO AURELIO MARQUES DE CASTRO</t>
  </si>
  <si>
    <t>OTAVIO ALVES FORTE</t>
  </si>
  <si>
    <t>PAULO RENATO SIMMONS DE PAULA</t>
  </si>
  <si>
    <t>RODRIGO</t>
  </si>
  <si>
    <t>RODRIGO ALVES DO NASCIMENTO</t>
  </si>
  <si>
    <t>IRON</t>
  </si>
  <si>
    <t>IGOR</t>
  </si>
  <si>
    <t>MARCIA</t>
  </si>
  <si>
    <t>GERALDO CARDOSO DE MELLO NETO</t>
  </si>
  <si>
    <t>CAIRO</t>
  </si>
  <si>
    <t>MARIO CAPP FILHO</t>
  </si>
  <si>
    <t>DANIELA DE MARTINS SOUZA</t>
  </si>
  <si>
    <t>DIMITRI</t>
  </si>
  <si>
    <t>IRMAOS SAKURAGUI LTDA</t>
  </si>
  <si>
    <t>BEATRIZ</t>
  </si>
  <si>
    <t>SOCIEDADE EDUCACIONAL RODRIGUES ABREU LTDA ME</t>
  </si>
  <si>
    <t>MICHELE</t>
  </si>
  <si>
    <t>GUARACI LELIS BELEZA</t>
  </si>
  <si>
    <t>FLAVIA</t>
  </si>
  <si>
    <t>KENIA MENDES CRUZ</t>
  </si>
  <si>
    <t>005064906</t>
  </si>
  <si>
    <t>BERTILLA</t>
  </si>
  <si>
    <t>ISADORA PRADO</t>
  </si>
  <si>
    <t>NAYANE BRAGA AIDAR</t>
  </si>
  <si>
    <t>GUILHERME SATYRO SALES</t>
  </si>
  <si>
    <t>EULER</t>
  </si>
  <si>
    <t>MARCIA REGIANE DE SOUSA ALEIXO</t>
  </si>
  <si>
    <t>DEBORA MACANEIRO VIEIRA</t>
  </si>
  <si>
    <t>ASSISTIGAS</t>
  </si>
  <si>
    <t>WILLIAM ENIO GUEDES FABRICIO</t>
  </si>
  <si>
    <t>CAROLINE</t>
  </si>
  <si>
    <t>PEDRO VICTOR LIMA DE FARIA</t>
  </si>
  <si>
    <t>ISABEL</t>
  </si>
  <si>
    <t>ANA ALICE DA COSTA SILVA</t>
  </si>
  <si>
    <t>LEILA</t>
  </si>
  <si>
    <t>NINA ROSA GOMES NOGUEIRA</t>
  </si>
  <si>
    <t>SILVAL JOSE ALVES FILHO</t>
  </si>
  <si>
    <t>CLISIA</t>
  </si>
  <si>
    <t>EDWARD LUCIO VIEIRA BORBA</t>
  </si>
  <si>
    <t>DIOGO</t>
  </si>
  <si>
    <t>SAKURAGUI JOIAS LTDA</t>
  </si>
  <si>
    <t>CIRIA COELHO RIBEIRO</t>
  </si>
  <si>
    <t>LUCAS</t>
  </si>
  <si>
    <t>MARIA OLIVIA BETHONICO CORREA</t>
  </si>
  <si>
    <t>VERA</t>
  </si>
  <si>
    <t>IRACY MARIA MACHADO DE AMORIM</t>
  </si>
  <si>
    <t>LEDA</t>
  </si>
  <si>
    <t>JULIA VITORIA SOARES GALVAO</t>
  </si>
  <si>
    <t>TIAGO PERFEITO DE SANTANA</t>
  </si>
  <si>
    <t>SABRINA</t>
  </si>
  <si>
    <t>AUGUSTO SETTE CAMARA VALENTE</t>
  </si>
  <si>
    <t>GLEUBER</t>
  </si>
  <si>
    <t>ARILMA MARCAL DE BRITO</t>
  </si>
  <si>
    <t>MARIA DO PILAR FIGUEIREDO CRUZ</t>
  </si>
  <si>
    <t>ANTONIO CARLOS DE PAULA COSTA</t>
  </si>
  <si>
    <t>MATHEUS</t>
  </si>
  <si>
    <t>ALESSANDRO</t>
  </si>
  <si>
    <t>CELSO MARCUS ALVARENGA DE CASTRO</t>
  </si>
  <si>
    <t>GABRIEL ANTONIO FERREIRA ALVES</t>
  </si>
  <si>
    <t>LUCAS RODRIGUES ARAUJO</t>
  </si>
  <si>
    <t>SOLANGE</t>
  </si>
  <si>
    <t>DANIELA ALMEIDA TEIXEIRA TOCCAFONDO</t>
  </si>
  <si>
    <t>LUCIANA FAVIERO DE LARA RIBEIRO</t>
  </si>
  <si>
    <t>ELENE</t>
  </si>
  <si>
    <t>SERGIO LINCOLN DE MATOS ARRUDA</t>
  </si>
  <si>
    <t>MARIANA</t>
  </si>
  <si>
    <t>ATILIO RULLI</t>
  </si>
  <si>
    <t>ISABELE</t>
  </si>
  <si>
    <t>RAFAELA BAYARDINO MACHADO</t>
  </si>
  <si>
    <t>DENISE FREIRE MENICUCCI</t>
  </si>
  <si>
    <t>ROSANE</t>
  </si>
  <si>
    <t>DANIELA MARQUES BRITO</t>
  </si>
  <si>
    <t>AFRISIO DE SOUZA VIEIRA LIMA FILHO</t>
  </si>
  <si>
    <t>JULIO</t>
  </si>
  <si>
    <t>LEONARDO GUERRA CHAVES</t>
  </si>
  <si>
    <t>MARCIA COELHO</t>
  </si>
  <si>
    <t>NEMORA PAIM DOS SANTOS</t>
  </si>
  <si>
    <t>SILVANIA PEREIRA DA COSTA</t>
  </si>
  <si>
    <t>ERIKA</t>
  </si>
  <si>
    <t>ILTON LUIS GUIMARAES DE SIQUEIRA</t>
  </si>
  <si>
    <t>STELLA</t>
  </si>
  <si>
    <t>GABRIEL BASILE PANTAZIS</t>
  </si>
  <si>
    <t>ELIANE MEDEIROS LEOPOLDINO GONCALVES</t>
  </si>
  <si>
    <t>ALEXANDRE ALVES E SOUZA</t>
  </si>
  <si>
    <t>YURI</t>
  </si>
  <si>
    <t>VICTOR VIEITES DO VALLE PIRES</t>
  </si>
  <si>
    <t>CIRIA</t>
  </si>
  <si>
    <t>ANA LUISA CUNHA CAMPOS DIEGUEZ</t>
  </si>
  <si>
    <t>JAIME</t>
  </si>
  <si>
    <t>DAURA DE CAMPOS MENDES FILPO</t>
  </si>
  <si>
    <t>SILVANIA</t>
  </si>
  <si>
    <t>SANDRA REGINA SILVEIRA</t>
  </si>
  <si>
    <t>GARCIA</t>
  </si>
  <si>
    <t>GLAUCIA DE AVILA OLIVEIRA</t>
  </si>
  <si>
    <t>BIANCA</t>
  </si>
  <si>
    <t>PAULO SERGIO DOS SANTOS PEREIRA</t>
  </si>
  <si>
    <t>AMADO DA COSTA E SILVA</t>
  </si>
  <si>
    <t>DENISE</t>
  </si>
  <si>
    <t>EDUARDA SEBASTIANI VAN LIESHOUT</t>
  </si>
  <si>
    <t>ROBERTO</t>
  </si>
  <si>
    <t>ISABELLA AZARIAS DE SOUZA</t>
  </si>
  <si>
    <t>REDRAU</t>
  </si>
  <si>
    <t>FLAVIO COSTA BEZERRA FILHO</t>
  </si>
  <si>
    <t>NADY</t>
  </si>
  <si>
    <t>LEONARDO GRANJA CARDOSO</t>
  </si>
  <si>
    <t>POLYANNA REZENDE MILHOMEM MARINHO</t>
  </si>
  <si>
    <t>CHRISTIAN KLEBER ROSA LISBOA</t>
  </si>
  <si>
    <t>CLAYTON</t>
  </si>
  <si>
    <t>REJANE</t>
  </si>
  <si>
    <t>CLUBE DE BLUEMETRIX GESTAO DE ATIVOS S.A</t>
  </si>
  <si>
    <t>WAGNER</t>
  </si>
  <si>
    <t>JULIA</t>
  </si>
  <si>
    <t>DANIEL</t>
  </si>
  <si>
    <t>THAYSA</t>
  </si>
  <si>
    <t>JUSCELINO</t>
  </si>
  <si>
    <t>KRYSCIA</t>
  </si>
  <si>
    <t>EMMANUELLE</t>
  </si>
  <si>
    <t>WILLIAM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</si>
  <si>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</si>
  <si>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</si>
  <si>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</si>
  <si>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</si>
  <si>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</si>
  <si>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</si>
  <si>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</si>
  <si>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</si>
  <si>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</si>
  <si>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</si>
  <si>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</si>
  <si>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</si>
  <si>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</si>
  <si>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</si>
  <si>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</si>
  <si>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</si>
  <si>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SUZY</t>
  </si>
  <si>
    <t>GABRIEL</t>
  </si>
  <si>
    <t>SERGIO</t>
  </si>
  <si>
    <t>EDUARDO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</si>
  <si>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</si>
  <si>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</si>
  <si>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</si>
  <si>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</si>
  <si>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</si>
  <si>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</si>
  <si>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</si>
  <si>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</si>
  <si>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</si>
  <si>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</si>
  <si>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</si>
  <si>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</si>
  <si>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</si>
  <si>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</si>
  <si>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</si>
  <si>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</si>
  <si>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</si>
  <si>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</si>
  <si>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</si>
  <si>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</si>
  <si>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</si>
  <si>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</si>
  <si>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</si>
  <si>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</si>
  <si>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EDNA</t>
  </si>
  <si>
    <t>BALTASAR</t>
  </si>
  <si>
    <t>KELMA</t>
  </si>
  <si>
    <t>VIVIANE</t>
  </si>
  <si>
    <t>DANIELE</t>
  </si>
  <si>
    <t>THOMAS</t>
  </si>
  <si>
    <t>MARA</t>
  </si>
  <si>
    <t>SUELI</t>
  </si>
  <si>
    <t>FABRICIO</t>
  </si>
  <si>
    <t>JO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</si>
  <si>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</si>
  <si>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</si>
  <si>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</si>
  <si>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</si>
  <si>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</si>
  <si>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</si>
  <si>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</si>
  <si>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</si>
  <si>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</si>
  <si>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</si>
  <si>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</si>
  <si>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</si>
  <si>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</si>
  <si>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</si>
  <si>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</si>
  <si>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</si>
  <si>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</si>
  <si>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</si>
  <si>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</si>
  <si>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</si>
  <si>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</si>
  <si>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</si>
  <si>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</si>
  <si>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</si>
  <si>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</si>
  <si>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</si>
  <si>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</si>
  <si>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</si>
  <si>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</si>
  <si>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</si>
  <si>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SIMONE</t>
  </si>
  <si>
    <t>RENATA</t>
  </si>
  <si>
    <t>BLUEMETRIX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</si>
  <si>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</si>
  <si>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</si>
  <si>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</si>
  <si>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</si>
  <si>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</si>
  <si>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</si>
  <si>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</si>
  <si>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</si>
  <si>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</si>
  <si>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</si>
  <si>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</si>
  <si>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</si>
  <si>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</si>
  <si>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</si>
  <si>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</si>
  <si>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</si>
  <si>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</si>
  <si>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</si>
  <si>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</si>
  <si>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</si>
  <si>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</si>
  <si>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</si>
  <si>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</si>
  <si>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</si>
  <si>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</si>
  <si>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</si>
  <si>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</si>
  <si>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</si>
  <si>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</si>
  <si>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</si>
  <si>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</si>
  <si>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</si>
  <si>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</si>
  <si>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</si>
  <si>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</si>
  <si>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</si>
  <si>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</si>
  <si>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</si>
  <si>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</si>
  <si>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</si>
  <si>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</si>
  <si>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</si>
  <si>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</si>
  <si>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</si>
  <si>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</si>
  <si>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</si>
  <si>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</si>
  <si>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</si>
  <si>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</si>
  <si>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</si>
  <si>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</si>
  <si>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</si>
  <si>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EDMAR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</si>
  <si>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</si>
  <si>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</si>
  <si>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</si>
  <si>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</si>
  <si>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</si>
  <si>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</si>
  <si>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</si>
  <si>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</si>
  <si>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</si>
  <si>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</si>
  <si>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</si>
  <si>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</si>
  <si>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</si>
  <si>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</si>
  <si>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</si>
  <si>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</si>
  <si>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</si>
  <si>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</si>
  <si>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</si>
  <si>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</si>
  <si>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</si>
  <si>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Julio Antonio Barbeta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</si>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</sst>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7" fillId="0" borderId="1" xfId="0" applyFont="1" applyBorder="1"/>
    <xf numFmtId="0" fontId="14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4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1EB-4B96-A9C0-E77C221A5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405600"/>
        <c:axId val="581222984"/>
      </c:lineChart>
      <c:catAx>
        <c:axId val="78840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81222984"/>
        <c:crosses val="autoZero"/>
        <c:auto val="1"/>
        <c:lblAlgn val="ctr"/>
        <c:lblOffset val="100"/>
        <c:noMultiLvlLbl val="1"/>
      </c:catAx>
      <c:valAx>
        <c:axId val="5812229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884056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E8C8-25E9-4CB0-A8AA-BF6559B2A57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46</v>
      </c>
      <c r="E8" s="6" t="s">
        <v>20</v>
      </c>
      <c r="F8" s="7" t="s">
        <v>47</v>
      </c>
      <c r="G8" s="6" t="s">
        <v>22</v>
      </c>
      <c r="H8" s="8" t="s">
        <v>61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48</v>
      </c>
      <c r="O8" s="7" t="s">
        <v>42</v>
      </c>
      <c r="P8" s="13" t="s">
        <v>49</v>
      </c>
    </row>
    <row r="9" spans="1:16">
      <c r="A9" s="3" t="s">
        <v>62</v>
      </c>
      <c r="B9" s="4" t="s">
        <v>63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61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64</v>
      </c>
      <c r="B10" s="4" t="s">
        <v>65</v>
      </c>
      <c r="C10" s="5" t="s">
        <v>29</v>
      </c>
      <c r="D10" s="6" t="s">
        <v>19</v>
      </c>
      <c r="E10" s="6" t="s">
        <v>66</v>
      </c>
      <c r="F10" s="7" t="s">
        <v>67</v>
      </c>
      <c r="G10" s="6" t="s">
        <v>22</v>
      </c>
      <c r="H10" s="8" t="s">
        <v>61</v>
      </c>
      <c r="I10" s="9" t="s">
        <v>57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66</v>
      </c>
      <c r="O10" s="7" t="s">
        <v>42</v>
      </c>
      <c r="P10" s="13" t="s">
        <v>69</v>
      </c>
    </row>
    <row r="11" spans="1:16">
      <c r="A11" s="3" t="s">
        <v>70</v>
      </c>
      <c r="B11" s="4" t="s">
        <v>65</v>
      </c>
      <c r="C11" s="5" t="s">
        <v>29</v>
      </c>
      <c r="D11" s="6" t="s">
        <v>71</v>
      </c>
      <c r="E11" s="6" t="s">
        <v>66</v>
      </c>
      <c r="F11" s="7" t="s">
        <v>72</v>
      </c>
      <c r="G11" s="6" t="s">
        <v>22</v>
      </c>
      <c r="H11" s="8" t="s">
        <v>61</v>
      </c>
      <c r="I11" s="9" t="s">
        <v>57</v>
      </c>
      <c r="J11" s="10">
        <v>1.2E-2</v>
      </c>
      <c r="K11" s="6" t="s">
        <v>25</v>
      </c>
      <c r="L11" s="11">
        <v>0</v>
      </c>
      <c r="M11" s="12" t="s">
        <v>73</v>
      </c>
      <c r="N11" s="12" t="s">
        <v>66</v>
      </c>
      <c r="O11" s="7" t="s">
        <v>42</v>
      </c>
      <c r="P11" s="13"/>
    </row>
  </sheetData>
  <customSheetViews>
    <customSheetView guid="{83C7FF90-A5AD-4758-A2B4-300004226B48}" filter="1" showAutoFilter="1">
      <pageMargins left="0.511811024" right="0.511811024" top="0.78740157499999996" bottom="0.78740157499999996" header="0.31496062000000002" footer="0.31496062000000002"/>
      <autoFilter ref="A1:P1" xr:uid="{2C29808D-AE53-4494-9232-F1F7937B3593}"/>
    </customSheetView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A1:I1" xr:uid="{CA463DE3-A673-42CB-A9AE-A8B10F39982E}"/>
    </customSheetView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A1:P1" xr:uid="{6DB2C77B-E903-428E-839D-DE3ED8011A6D}"/>
    </customSheetView>
    <customSheetView guid="{23FB3692-44FA-48F6-A6A3-5EA30732F04D}" filter="1" showAutoFilter="1">
      <pageMargins left="0.511811024" right="0.511811024" top="0.78740157499999996" bottom="0.78740157499999996" header="0.31496062000000002" footer="0.31496062000000002"/>
      <autoFilter ref="A1:P1" xr:uid="{05CEF69D-1811-474C-8A81-7AC1EA835A8B}"/>
    </customSheetView>
    <customSheetView guid="{73804860-C66F-4AD9-A5ED-DE9B46A8E773}" filter="1" showAutoFilter="1">
      <pageMargins left="0.511811024" right="0.511811024" top="0.78740157499999996" bottom="0.78740157499999996" header="0.31496062000000002" footer="0.31496062000000002"/>
      <autoFilter ref="C1" xr:uid="{12D0CFEF-10C3-4D9D-94D1-BCE00CAF42F9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4" t="s">
        <v>74</v>
      </c>
      <c r="B1" s="645"/>
      <c r="C1" s="645"/>
      <c r="D1" s="645"/>
      <c r="E1" s="645"/>
      <c r="F1" s="645"/>
      <c r="G1" s="15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15" t="s">
        <v>75</v>
      </c>
      <c r="R1" s="17" t="s">
        <v>74</v>
      </c>
      <c r="S1" s="18" t="s">
        <v>77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</row>
    <row r="2" spans="1:53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97</v>
      </c>
      <c r="AD2" s="20" t="s">
        <v>98</v>
      </c>
      <c r="AE2" s="20" t="s">
        <v>99</v>
      </c>
      <c r="AF2" s="20" t="s">
        <v>100</v>
      </c>
      <c r="AG2" s="20" t="s">
        <v>101</v>
      </c>
      <c r="AH2" s="20" t="s">
        <v>102</v>
      </c>
      <c r="AI2" s="20" t="s">
        <v>103</v>
      </c>
      <c r="AJ2" s="20" t="s">
        <v>104</v>
      </c>
      <c r="AK2" s="20" t="s">
        <v>105</v>
      </c>
      <c r="AL2" s="20" t="s">
        <v>106</v>
      </c>
      <c r="AM2" s="20" t="s">
        <v>107</v>
      </c>
      <c r="AN2" s="20" t="s">
        <v>108</v>
      </c>
      <c r="AO2" s="20" t="s">
        <v>109</v>
      </c>
      <c r="AP2" s="20" t="s">
        <v>110</v>
      </c>
      <c r="AQ2" s="20" t="s">
        <v>111</v>
      </c>
      <c r="AR2" s="20" t="s">
        <v>112</v>
      </c>
      <c r="AS2" s="20" t="s">
        <v>113</v>
      </c>
      <c r="AT2" s="20" t="s">
        <v>114</v>
      </c>
      <c r="AU2" s="20" t="s">
        <v>115</v>
      </c>
      <c r="AV2" s="20" t="s">
        <v>116</v>
      </c>
      <c r="AW2" s="20" t="s">
        <v>117</v>
      </c>
      <c r="AX2" s="20" t="s">
        <v>118</v>
      </c>
      <c r="AY2" s="20" t="s">
        <v>119</v>
      </c>
      <c r="AZ2" s="20" t="s">
        <v>120</v>
      </c>
      <c r="BA2" s="20" t="s">
        <v>121</v>
      </c>
    </row>
    <row r="3" spans="1:53" ht="15.75" customHeight="1">
      <c r="A3" s="23" t="s">
        <v>29</v>
      </c>
      <c r="B3" s="3" t="s">
        <v>122</v>
      </c>
      <c r="C3" s="4" t="s">
        <v>123</v>
      </c>
      <c r="D3" s="7" t="s">
        <v>46</v>
      </c>
      <c r="E3" s="7" t="s">
        <v>20</v>
      </c>
      <c r="F3" s="7" t="s">
        <v>124</v>
      </c>
      <c r="G3" s="7" t="e">
        <f t="shared" ref="G3:G257" ca="1" si="0">_xludf.IFS($BA$3:$BA$864&lt;=500000,"Breno",$BA$3:$BA$864&lt;=20000000,"Bruno",$BA$3:$BA$864="","")</f>
        <v>#NAME?</v>
      </c>
      <c r="H3" s="24" t="s">
        <v>125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126</v>
      </c>
      <c r="S3" s="7" t="s">
        <v>127</v>
      </c>
      <c r="T3" s="7" t="s">
        <v>128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129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130</v>
      </c>
      <c r="C4" s="4" t="s">
        <v>131</v>
      </c>
      <c r="D4" s="7" t="s">
        <v>132</v>
      </c>
      <c r="E4" s="7" t="s">
        <v>66</v>
      </c>
      <c r="F4" s="7" t="s">
        <v>133</v>
      </c>
      <c r="G4" s="7" t="e">
        <f t="shared" ca="1" si="0"/>
        <v>#NAME?</v>
      </c>
      <c r="H4" s="24" t="s">
        <v>134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135</v>
      </c>
      <c r="R4" s="28"/>
      <c r="S4" s="7" t="s">
        <v>127</v>
      </c>
      <c r="T4" s="7" t="s">
        <v>136</v>
      </c>
      <c r="U4" s="7" t="s">
        <v>66</v>
      </c>
      <c r="V4" s="24" t="e">
        <f t="shared" ca="1" si="2"/>
        <v>#NAME?</v>
      </c>
      <c r="W4" s="7"/>
      <c r="X4" s="7" t="s">
        <v>137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138</v>
      </c>
      <c r="C5" s="4" t="s">
        <v>139</v>
      </c>
      <c r="D5" s="7" t="s">
        <v>55</v>
      </c>
      <c r="E5" s="7" t="s">
        <v>20</v>
      </c>
      <c r="F5" s="7" t="s">
        <v>140</v>
      </c>
      <c r="G5" s="7" t="e">
        <f t="shared" ca="1" si="0"/>
        <v>#NAME?</v>
      </c>
      <c r="H5" s="24" t="s">
        <v>134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127</v>
      </c>
      <c r="T5" s="7" t="s">
        <v>141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129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142</v>
      </c>
      <c r="C6" s="4" t="s">
        <v>143</v>
      </c>
      <c r="D6" s="7" t="s">
        <v>19</v>
      </c>
      <c r="E6" s="7" t="s">
        <v>66</v>
      </c>
      <c r="F6" s="7" t="s">
        <v>144</v>
      </c>
      <c r="G6" s="7" t="e">
        <f t="shared" ca="1" si="0"/>
        <v>#NAME?</v>
      </c>
      <c r="H6" s="24" t="s">
        <v>145</v>
      </c>
      <c r="I6" s="24" t="s">
        <v>146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127</v>
      </c>
      <c r="T6" s="7" t="s">
        <v>147</v>
      </c>
      <c r="U6" s="7" t="s">
        <v>66</v>
      </c>
      <c r="V6" s="24" t="e">
        <f t="shared" ca="1" si="2"/>
        <v>#NAME?</v>
      </c>
      <c r="W6" s="7"/>
      <c r="X6" s="7"/>
      <c r="Y6" s="29" t="s">
        <v>129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148</v>
      </c>
      <c r="C7" s="4" t="s">
        <v>149</v>
      </c>
      <c r="D7" s="7" t="s">
        <v>19</v>
      </c>
      <c r="E7" s="7" t="s">
        <v>66</v>
      </c>
      <c r="F7" s="7" t="s">
        <v>67</v>
      </c>
      <c r="G7" s="7" t="e">
        <f t="shared" ca="1" si="0"/>
        <v>#NAME?</v>
      </c>
      <c r="H7" s="24" t="s">
        <v>150</v>
      </c>
      <c r="I7" s="24" t="s">
        <v>146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127</v>
      </c>
      <c r="T7" s="7" t="s">
        <v>151</v>
      </c>
      <c r="U7" s="7" t="s">
        <v>66</v>
      </c>
      <c r="V7" s="24" t="e">
        <f t="shared" ca="1" si="2"/>
        <v>#NAME?</v>
      </c>
      <c r="W7" s="7"/>
      <c r="X7" s="7" t="s">
        <v>152</v>
      </c>
      <c r="Y7" s="29" t="s">
        <v>129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153</v>
      </c>
      <c r="C8" s="4" t="s">
        <v>154</v>
      </c>
      <c r="D8" s="7" t="s">
        <v>19</v>
      </c>
      <c r="E8" s="7" t="s">
        <v>20</v>
      </c>
      <c r="F8" s="7" t="s">
        <v>155</v>
      </c>
      <c r="G8" s="7" t="e">
        <f t="shared" ca="1" si="0"/>
        <v>#NAME?</v>
      </c>
      <c r="H8" s="24" t="s">
        <v>134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156</v>
      </c>
      <c r="N8" s="26">
        <v>0</v>
      </c>
      <c r="O8" s="7" t="s">
        <v>25</v>
      </c>
      <c r="P8" s="27">
        <v>0</v>
      </c>
      <c r="Q8" s="28"/>
      <c r="R8" s="28"/>
      <c r="S8" s="7" t="s">
        <v>127</v>
      </c>
      <c r="T8" s="7" t="s">
        <v>157</v>
      </c>
      <c r="U8" s="7" t="s">
        <v>20</v>
      </c>
      <c r="V8" s="24" t="e">
        <f t="shared" ca="1" si="2"/>
        <v>#NAME?</v>
      </c>
      <c r="W8" s="7"/>
      <c r="X8" s="7"/>
      <c r="Y8" s="29" t="s">
        <v>129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158</v>
      </c>
      <c r="C9" s="4" t="s">
        <v>159</v>
      </c>
      <c r="D9" s="7" t="s">
        <v>19</v>
      </c>
      <c r="E9" s="7" t="s">
        <v>66</v>
      </c>
      <c r="F9" s="7" t="s">
        <v>144</v>
      </c>
      <c r="G9" s="7" t="e">
        <f t="shared" ca="1" si="0"/>
        <v>#NAME?</v>
      </c>
      <c r="H9" s="24" t="s">
        <v>134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127</v>
      </c>
      <c r="T9" s="7" t="s">
        <v>160</v>
      </c>
      <c r="U9" s="7" t="s">
        <v>66</v>
      </c>
      <c r="V9" s="24" t="e">
        <f t="shared" ca="1" si="2"/>
        <v>#NAME?</v>
      </c>
      <c r="W9" s="7"/>
      <c r="X9" s="7"/>
      <c r="Y9" s="29" t="s">
        <v>129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161</v>
      </c>
      <c r="C10" s="4" t="s">
        <v>162</v>
      </c>
      <c r="D10" s="7" t="s">
        <v>71</v>
      </c>
      <c r="E10" s="7" t="s">
        <v>66</v>
      </c>
      <c r="F10" s="7" t="s">
        <v>72</v>
      </c>
      <c r="G10" s="7" t="e">
        <f t="shared" ca="1" si="0"/>
        <v>#NAME?</v>
      </c>
      <c r="H10" s="24" t="s">
        <v>134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127</v>
      </c>
      <c r="T10" s="7" t="s">
        <v>163</v>
      </c>
      <c r="U10" s="7" t="s">
        <v>66</v>
      </c>
      <c r="V10" s="24" t="e">
        <f t="shared" ca="1" si="2"/>
        <v>#NAME?</v>
      </c>
      <c r="W10" s="7"/>
      <c r="X10" s="7" t="s">
        <v>152</v>
      </c>
      <c r="Y10" s="29" t="s">
        <v>129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161</v>
      </c>
      <c r="C11" s="4" t="s">
        <v>164</v>
      </c>
      <c r="D11" s="7" t="s">
        <v>71</v>
      </c>
      <c r="E11" s="7" t="s">
        <v>66</v>
      </c>
      <c r="F11" s="7" t="s">
        <v>72</v>
      </c>
      <c r="G11" s="7" t="e">
        <f t="shared" ca="1" si="0"/>
        <v>#NAME?</v>
      </c>
      <c r="H11" s="24" t="s">
        <v>134</v>
      </c>
      <c r="I11" s="24" t="s">
        <v>25</v>
      </c>
      <c r="J11" s="7" t="s">
        <v>165</v>
      </c>
      <c r="K11" s="25">
        <v>45450</v>
      </c>
      <c r="L11" s="7"/>
      <c r="M11" s="7" t="s">
        <v>166</v>
      </c>
      <c r="N11" s="26">
        <v>2.5000000000000001E-2</v>
      </c>
      <c r="O11" s="7" t="s">
        <v>167</v>
      </c>
      <c r="P11" s="27">
        <v>0.2</v>
      </c>
      <c r="Q11" s="28"/>
      <c r="R11" s="28"/>
      <c r="S11" s="7" t="s">
        <v>127</v>
      </c>
      <c r="T11" s="7" t="s">
        <v>163</v>
      </c>
      <c r="U11" s="7" t="s">
        <v>66</v>
      </c>
      <c r="V11" s="24" t="e">
        <f t="shared" ca="1" si="2"/>
        <v>#NAME?</v>
      </c>
      <c r="W11" s="7"/>
      <c r="X11" s="7" t="s">
        <v>152</v>
      </c>
      <c r="Y11" s="29" t="s">
        <v>129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168</v>
      </c>
      <c r="C12" s="34" t="s">
        <v>169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165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170</v>
      </c>
      <c r="R12" s="28"/>
      <c r="S12" s="7" t="s">
        <v>171</v>
      </c>
      <c r="T12" s="7" t="s">
        <v>172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173</v>
      </c>
      <c r="C13" s="35" t="s">
        <v>174</v>
      </c>
      <c r="D13" s="7" t="s">
        <v>19</v>
      </c>
      <c r="E13" s="7" t="s">
        <v>66</v>
      </c>
      <c r="F13" s="7" t="s">
        <v>144</v>
      </c>
      <c r="G13" s="7" t="e">
        <f t="shared" ca="1" si="0"/>
        <v>#NAME?</v>
      </c>
      <c r="H13" s="24" t="s">
        <v>134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175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127</v>
      </c>
      <c r="T13" s="6" t="s">
        <v>176</v>
      </c>
      <c r="U13" s="7" t="s">
        <v>66</v>
      </c>
      <c r="V13" s="24" t="e">
        <f t="shared" ca="1" si="2"/>
        <v>#NAME?</v>
      </c>
      <c r="W13" s="7"/>
      <c r="X13" s="7"/>
      <c r="Y13" s="29" t="s">
        <v>129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177</v>
      </c>
      <c r="C14" s="35" t="s">
        <v>178</v>
      </c>
      <c r="D14" s="7" t="s">
        <v>179</v>
      </c>
      <c r="E14" s="7" t="s">
        <v>20</v>
      </c>
      <c r="F14" s="7" t="s">
        <v>180</v>
      </c>
      <c r="G14" s="7" t="e">
        <f t="shared" ca="1" si="0"/>
        <v>#NAME?</v>
      </c>
      <c r="H14" s="24" t="s">
        <v>134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127</v>
      </c>
      <c r="T14" s="6" t="s">
        <v>181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182</v>
      </c>
      <c r="C15" s="4" t="s">
        <v>183</v>
      </c>
      <c r="D15" s="7" t="s">
        <v>19</v>
      </c>
      <c r="E15" s="7" t="s">
        <v>20</v>
      </c>
      <c r="F15" s="7" t="s">
        <v>184</v>
      </c>
      <c r="G15" s="7" t="e">
        <f t="shared" ca="1" si="0"/>
        <v>#NAME?</v>
      </c>
      <c r="H15" s="24" t="s">
        <v>134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127</v>
      </c>
      <c r="T15" s="7" t="s">
        <v>186</v>
      </c>
      <c r="U15" s="7" t="s">
        <v>20</v>
      </c>
      <c r="V15" s="24" t="e">
        <f t="shared" ca="1" si="2"/>
        <v>#NAME?</v>
      </c>
      <c r="W15" s="7"/>
      <c r="X15" s="7"/>
      <c r="Y15" s="29" t="s">
        <v>129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187</v>
      </c>
      <c r="C16" s="4" t="s">
        <v>188</v>
      </c>
      <c r="D16" s="7" t="s">
        <v>46</v>
      </c>
      <c r="E16" s="7" t="s">
        <v>20</v>
      </c>
      <c r="F16" s="7" t="s">
        <v>189</v>
      </c>
      <c r="G16" s="7" t="e">
        <f t="shared" ca="1" si="0"/>
        <v>#NAME?</v>
      </c>
      <c r="H16" s="24" t="s">
        <v>145</v>
      </c>
      <c r="I16" s="24" t="s">
        <v>190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191</v>
      </c>
      <c r="R16" s="36"/>
      <c r="S16" s="7" t="s">
        <v>127</v>
      </c>
      <c r="T16" s="7" t="s">
        <v>192</v>
      </c>
      <c r="U16" s="7" t="s">
        <v>48</v>
      </c>
      <c r="V16" s="24" t="e">
        <f t="shared" ca="1" si="2"/>
        <v>#NAME?</v>
      </c>
      <c r="W16" s="7"/>
      <c r="X16" s="7"/>
      <c r="Y16" s="29" t="s">
        <v>129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193</v>
      </c>
      <c r="C17" s="4" t="s">
        <v>194</v>
      </c>
      <c r="D17" s="7" t="s">
        <v>19</v>
      </c>
      <c r="E17" s="7" t="s">
        <v>20</v>
      </c>
      <c r="F17" s="7" t="s">
        <v>195</v>
      </c>
      <c r="G17" s="7" t="e">
        <f t="shared" ca="1" si="0"/>
        <v>#NAME?</v>
      </c>
      <c r="H17" s="24" t="s">
        <v>134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127</v>
      </c>
      <c r="T17" s="7" t="s">
        <v>196</v>
      </c>
      <c r="U17" s="7" t="s">
        <v>20</v>
      </c>
      <c r="V17" s="24" t="e">
        <f t="shared" ca="1" si="2"/>
        <v>#NAME?</v>
      </c>
      <c r="W17" s="7"/>
      <c r="X17" s="7"/>
      <c r="Y17" s="29" t="s">
        <v>129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197</v>
      </c>
      <c r="C18" s="4" t="s">
        <v>198</v>
      </c>
      <c r="D18" s="7" t="s">
        <v>19</v>
      </c>
      <c r="E18" s="7" t="s">
        <v>35</v>
      </c>
      <c r="F18" s="7" t="s">
        <v>199</v>
      </c>
      <c r="G18" s="7" t="e">
        <f t="shared" ca="1" si="0"/>
        <v>#NAME?</v>
      </c>
      <c r="H18" s="24" t="s">
        <v>150</v>
      </c>
      <c r="I18" s="24" t="s">
        <v>146</v>
      </c>
      <c r="J18" s="7" t="str">
        <f t="shared" si="3"/>
        <v>Não</v>
      </c>
      <c r="K18" s="25">
        <v>45544</v>
      </c>
      <c r="L18" s="7"/>
      <c r="M18" s="7" t="s">
        <v>200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127</v>
      </c>
      <c r="T18" s="7" t="s">
        <v>201</v>
      </c>
      <c r="U18" s="7" t="s">
        <v>202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203</v>
      </c>
      <c r="C19" s="4" t="s">
        <v>204</v>
      </c>
      <c r="D19" s="7" t="s">
        <v>19</v>
      </c>
      <c r="E19" s="7" t="s">
        <v>20</v>
      </c>
      <c r="F19" s="7" t="s">
        <v>195</v>
      </c>
      <c r="G19" s="7" t="e">
        <f t="shared" ca="1" si="0"/>
        <v>#NAME?</v>
      </c>
      <c r="H19" s="24" t="s">
        <v>134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127</v>
      </c>
      <c r="T19" s="7" t="s">
        <v>205</v>
      </c>
      <c r="U19" s="7" t="s">
        <v>20</v>
      </c>
      <c r="V19" s="24" t="e">
        <f t="shared" ca="1" si="2"/>
        <v>#NAME?</v>
      </c>
      <c r="W19" s="7"/>
      <c r="X19" s="7"/>
      <c r="Y19" s="29" t="s">
        <v>129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206</v>
      </c>
      <c r="C20" s="4" t="s">
        <v>207</v>
      </c>
      <c r="D20" s="7" t="s">
        <v>19</v>
      </c>
      <c r="E20" s="7" t="s">
        <v>20</v>
      </c>
      <c r="F20" s="7" t="s">
        <v>195</v>
      </c>
      <c r="G20" s="7" t="e">
        <f t="shared" ca="1" si="0"/>
        <v>#NAME?</v>
      </c>
      <c r="H20" s="24" t="s">
        <v>145</v>
      </c>
      <c r="I20" s="24" t="s">
        <v>208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127</v>
      </c>
      <c r="T20" s="7" t="s">
        <v>205</v>
      </c>
      <c r="U20" s="7" t="s">
        <v>20</v>
      </c>
      <c r="V20" s="24" t="e">
        <f t="shared" ca="1" si="2"/>
        <v>#NAME?</v>
      </c>
      <c r="W20" s="7"/>
      <c r="X20" s="7"/>
      <c r="Y20" s="29" t="s">
        <v>129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209</v>
      </c>
      <c r="C21" s="4" t="s">
        <v>210</v>
      </c>
      <c r="D21" s="7" t="s">
        <v>46</v>
      </c>
      <c r="E21" s="7" t="s">
        <v>20</v>
      </c>
      <c r="F21" s="7" t="s">
        <v>124</v>
      </c>
      <c r="G21" s="7" t="e">
        <f t="shared" ca="1" si="0"/>
        <v>#NAME?</v>
      </c>
      <c r="H21" s="24" t="s">
        <v>125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211</v>
      </c>
      <c r="N21" s="26">
        <v>0.01</v>
      </c>
      <c r="O21" s="7" t="s">
        <v>25</v>
      </c>
      <c r="P21" s="27">
        <v>0</v>
      </c>
      <c r="Q21" s="28"/>
      <c r="R21" s="28"/>
      <c r="S21" s="7" t="s">
        <v>127</v>
      </c>
      <c r="T21" s="7" t="s">
        <v>212</v>
      </c>
      <c r="U21" s="7" t="s">
        <v>20</v>
      </c>
      <c r="V21" s="24" t="e">
        <f t="shared" ca="1" si="2"/>
        <v>#NAME?</v>
      </c>
      <c r="W21" s="7"/>
      <c r="X21" s="7"/>
      <c r="Y21" s="29" t="s">
        <v>129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213</v>
      </c>
      <c r="C22" s="4" t="s">
        <v>214</v>
      </c>
      <c r="D22" s="7" t="s">
        <v>19</v>
      </c>
      <c r="E22" s="7" t="s">
        <v>20</v>
      </c>
      <c r="F22" s="7" t="s">
        <v>184</v>
      </c>
      <c r="G22" s="7" t="e">
        <f t="shared" ca="1" si="0"/>
        <v>#NAME?</v>
      </c>
      <c r="H22" s="24" t="s">
        <v>134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127</v>
      </c>
      <c r="T22" s="7" t="s">
        <v>215</v>
      </c>
      <c r="U22" s="7" t="s">
        <v>20</v>
      </c>
      <c r="V22" s="24" t="e">
        <f t="shared" ca="1" si="2"/>
        <v>#NAME?</v>
      </c>
      <c r="W22" s="7"/>
      <c r="X22" s="7" t="s">
        <v>137</v>
      </c>
      <c r="Y22" s="29" t="s">
        <v>129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216</v>
      </c>
      <c r="C23" s="4" t="s">
        <v>217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134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127</v>
      </c>
      <c r="T23" s="7" t="s">
        <v>218</v>
      </c>
      <c r="U23" s="7" t="s">
        <v>20</v>
      </c>
      <c r="V23" s="24" t="e">
        <f t="shared" ca="1" si="2"/>
        <v>#NAME?</v>
      </c>
      <c r="W23" s="7"/>
      <c r="X23" s="7"/>
      <c r="Y23" s="29" t="s">
        <v>129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219</v>
      </c>
      <c r="C24" s="4" t="s">
        <v>220</v>
      </c>
      <c r="D24" s="7" t="s">
        <v>19</v>
      </c>
      <c r="E24" s="7" t="s">
        <v>20</v>
      </c>
      <c r="F24" s="7" t="s">
        <v>184</v>
      </c>
      <c r="G24" s="7" t="e">
        <f t="shared" ca="1" si="0"/>
        <v>#NAME?</v>
      </c>
      <c r="H24" s="24" t="s">
        <v>134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221</v>
      </c>
      <c r="R24" s="28"/>
      <c r="S24" s="7" t="s">
        <v>127</v>
      </c>
      <c r="T24" s="7" t="s">
        <v>222</v>
      </c>
      <c r="U24" s="7" t="s">
        <v>20</v>
      </c>
      <c r="V24" s="24" t="e">
        <f t="shared" ca="1" si="2"/>
        <v>#NAME?</v>
      </c>
      <c r="W24" s="7"/>
      <c r="X24" s="7" t="s">
        <v>137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223</v>
      </c>
      <c r="C25" s="4" t="s">
        <v>224</v>
      </c>
      <c r="D25" s="7" t="s">
        <v>55</v>
      </c>
      <c r="E25" s="7" t="s">
        <v>20</v>
      </c>
      <c r="F25" s="7" t="s">
        <v>225</v>
      </c>
      <c r="G25" s="7" t="e">
        <f t="shared" ca="1" si="0"/>
        <v>#NAME?</v>
      </c>
      <c r="H25" s="24" t="s">
        <v>134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127</v>
      </c>
      <c r="T25" s="7" t="s">
        <v>226</v>
      </c>
      <c r="U25" s="7" t="s">
        <v>20</v>
      </c>
      <c r="V25" s="24" t="e">
        <f t="shared" ca="1" si="2"/>
        <v>#NAME?</v>
      </c>
      <c r="W25" s="7"/>
      <c r="X25" s="7"/>
      <c r="Y25" s="29" t="s">
        <v>129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227</v>
      </c>
      <c r="C26" s="4" t="s">
        <v>228</v>
      </c>
      <c r="D26" s="7" t="s">
        <v>19</v>
      </c>
      <c r="E26" s="7" t="s">
        <v>35</v>
      </c>
      <c r="F26" s="7" t="s">
        <v>199</v>
      </c>
      <c r="G26" s="7" t="e">
        <f t="shared" ca="1" si="0"/>
        <v>#NAME?</v>
      </c>
      <c r="H26" s="24" t="s">
        <v>145</v>
      </c>
      <c r="I26" s="24" t="s">
        <v>229</v>
      </c>
      <c r="J26" s="7" t="str">
        <f t="shared" si="3"/>
        <v>Não</v>
      </c>
      <c r="K26" s="25">
        <v>45166</v>
      </c>
      <c r="L26" s="25"/>
      <c r="M26" s="7" t="s">
        <v>185</v>
      </c>
      <c r="N26" s="26">
        <v>1.4999999999999999E-2</v>
      </c>
      <c r="O26" s="7" t="s">
        <v>39</v>
      </c>
      <c r="P26" s="27">
        <v>0.1</v>
      </c>
      <c r="Q26" s="28"/>
      <c r="R26" s="28" t="s">
        <v>230</v>
      </c>
      <c r="S26" s="7" t="s">
        <v>127</v>
      </c>
      <c r="T26" s="7" t="s">
        <v>231</v>
      </c>
      <c r="U26" s="7" t="s">
        <v>202</v>
      </c>
      <c r="V26" s="24" t="e">
        <f t="shared" ca="1" si="2"/>
        <v>#NAME?</v>
      </c>
      <c r="W26" s="7"/>
      <c r="X26" s="7"/>
      <c r="Y26" s="29" t="s">
        <v>129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232</v>
      </c>
      <c r="C27" s="39" t="s">
        <v>233</v>
      </c>
      <c r="D27" s="7" t="s">
        <v>55</v>
      </c>
      <c r="E27" s="7" t="s">
        <v>20</v>
      </c>
      <c r="F27" s="7" t="s">
        <v>234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127</v>
      </c>
      <c r="T27" s="12" t="s">
        <v>235</v>
      </c>
      <c r="U27" s="7" t="s">
        <v>20</v>
      </c>
      <c r="V27" s="24" t="e">
        <f t="shared" ca="1" si="2"/>
        <v>#NAME?</v>
      </c>
      <c r="W27" s="7"/>
      <c r="X27" s="7" t="s">
        <v>137</v>
      </c>
      <c r="Y27" s="29" t="s">
        <v>129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236</v>
      </c>
      <c r="C28" s="41" t="s">
        <v>237</v>
      </c>
      <c r="D28" s="7" t="s">
        <v>19</v>
      </c>
      <c r="E28" s="7" t="s">
        <v>20</v>
      </c>
      <c r="F28" s="7" t="s">
        <v>195</v>
      </c>
      <c r="G28" s="7" t="e">
        <f t="shared" ca="1" si="0"/>
        <v>#NAME?</v>
      </c>
      <c r="H28" s="24" t="s">
        <v>125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238</v>
      </c>
      <c r="S28" s="7" t="s">
        <v>127</v>
      </c>
      <c r="T28" s="7" t="s">
        <v>239</v>
      </c>
      <c r="U28" s="7" t="s">
        <v>20</v>
      </c>
      <c r="V28" s="24" t="e">
        <f t="shared" ca="1" si="2"/>
        <v>#NAME?</v>
      </c>
      <c r="W28" s="7"/>
      <c r="X28" s="7"/>
      <c r="Y28" s="29" t="s">
        <v>240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236</v>
      </c>
      <c r="C29" s="41" t="s">
        <v>241</v>
      </c>
      <c r="D29" s="7" t="s">
        <v>19</v>
      </c>
      <c r="E29" s="7" t="s">
        <v>20</v>
      </c>
      <c r="F29" s="7" t="s">
        <v>195</v>
      </c>
      <c r="G29" s="7" t="e">
        <f t="shared" ca="1" si="0"/>
        <v>#NAME?</v>
      </c>
      <c r="H29" s="24" t="s">
        <v>125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242</v>
      </c>
      <c r="N29" s="26">
        <v>0.02</v>
      </c>
      <c r="O29" s="7" t="s">
        <v>167</v>
      </c>
      <c r="P29" s="27">
        <v>0.2</v>
      </c>
      <c r="Q29" s="28"/>
      <c r="R29" s="23" t="s">
        <v>243</v>
      </c>
      <c r="S29" s="7" t="s">
        <v>127</v>
      </c>
      <c r="T29" s="7" t="s">
        <v>239</v>
      </c>
      <c r="U29" s="7" t="s">
        <v>20</v>
      </c>
      <c r="V29" s="24" t="e">
        <f t="shared" ca="1" si="2"/>
        <v>#NAME?</v>
      </c>
      <c r="W29" s="7"/>
      <c r="X29" s="7"/>
      <c r="Y29" s="29" t="s">
        <v>240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236</v>
      </c>
      <c r="C30" s="42" t="s">
        <v>244</v>
      </c>
      <c r="D30" s="7" t="s">
        <v>19</v>
      </c>
      <c r="E30" s="7" t="s">
        <v>20</v>
      </c>
      <c r="F30" s="7" t="s">
        <v>195</v>
      </c>
      <c r="G30" s="7" t="e">
        <f t="shared" ca="1" si="0"/>
        <v>#NAME?</v>
      </c>
      <c r="H30" s="24" t="s">
        <v>125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245</v>
      </c>
      <c r="N30" s="26">
        <v>8.0000000000000002E-3</v>
      </c>
      <c r="O30" s="7" t="s">
        <v>246</v>
      </c>
      <c r="P30" s="27">
        <v>0.1</v>
      </c>
      <c r="Q30" s="28"/>
      <c r="R30" s="43" t="s">
        <v>247</v>
      </c>
      <c r="S30" s="7" t="s">
        <v>127</v>
      </c>
      <c r="T30" s="7" t="s">
        <v>239</v>
      </c>
      <c r="U30" s="7" t="s">
        <v>20</v>
      </c>
      <c r="V30" s="24" t="e">
        <f t="shared" ca="1" si="2"/>
        <v>#NAME?</v>
      </c>
      <c r="W30" s="7"/>
      <c r="X30" s="7"/>
      <c r="Y30" s="29" t="s">
        <v>240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248</v>
      </c>
      <c r="C31" s="44" t="s">
        <v>249</v>
      </c>
      <c r="D31" s="7" t="s">
        <v>19</v>
      </c>
      <c r="E31" s="7" t="s">
        <v>35</v>
      </c>
      <c r="F31" s="7" t="s">
        <v>250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185</v>
      </c>
      <c r="N31" s="26">
        <v>1.4999999999999999E-2</v>
      </c>
      <c r="O31" s="7" t="s">
        <v>39</v>
      </c>
      <c r="P31" s="27">
        <v>0.1</v>
      </c>
      <c r="Q31" s="28"/>
      <c r="R31" s="45" t="s">
        <v>251</v>
      </c>
      <c r="S31" s="7" t="s">
        <v>127</v>
      </c>
      <c r="T31" s="7" t="s">
        <v>252</v>
      </c>
      <c r="U31" s="7" t="s">
        <v>202</v>
      </c>
      <c r="V31" s="24" t="e">
        <f t="shared" ca="1" si="2"/>
        <v>#NAME?</v>
      </c>
      <c r="W31" s="7"/>
      <c r="X31" s="7"/>
      <c r="Y31" s="29" t="s">
        <v>129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253</v>
      </c>
      <c r="C32" s="4" t="s">
        <v>254</v>
      </c>
      <c r="D32" s="7" t="s">
        <v>19</v>
      </c>
      <c r="E32" s="7" t="s">
        <v>35</v>
      </c>
      <c r="F32" s="7" t="s">
        <v>250</v>
      </c>
      <c r="G32" s="7" t="e">
        <f t="shared" ca="1" si="0"/>
        <v>#NAME?</v>
      </c>
      <c r="H32" s="24" t="s">
        <v>125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127</v>
      </c>
      <c r="T32" s="7" t="s">
        <v>252</v>
      </c>
      <c r="U32" s="7" t="s">
        <v>202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255</v>
      </c>
      <c r="C33" s="39" t="s">
        <v>256</v>
      </c>
      <c r="D33" s="7" t="s">
        <v>19</v>
      </c>
      <c r="E33" s="7" t="s">
        <v>20</v>
      </c>
      <c r="F33" s="7" t="s">
        <v>257</v>
      </c>
      <c r="G33" s="7" t="e">
        <f t="shared" ca="1" si="0"/>
        <v>#NAME?</v>
      </c>
      <c r="H33" s="24" t="s">
        <v>150</v>
      </c>
      <c r="I33" s="24" t="s">
        <v>208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127</v>
      </c>
      <c r="T33" s="12" t="s">
        <v>258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129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259</v>
      </c>
      <c r="C34" s="46" t="s">
        <v>260</v>
      </c>
      <c r="D34" s="7" t="s">
        <v>46</v>
      </c>
      <c r="E34" s="7" t="s">
        <v>20</v>
      </c>
      <c r="F34" s="7" t="s">
        <v>261</v>
      </c>
      <c r="G34" s="7" t="e">
        <f t="shared" ca="1" si="0"/>
        <v>#NAME?</v>
      </c>
      <c r="H34" s="24" t="s">
        <v>134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242</v>
      </c>
      <c r="N34" s="26">
        <v>2.5000000000000001E-2</v>
      </c>
      <c r="O34" s="7" t="s">
        <v>167</v>
      </c>
      <c r="P34" s="27">
        <v>0.2</v>
      </c>
      <c r="Q34" s="28"/>
      <c r="R34" s="28"/>
      <c r="S34" s="7" t="s">
        <v>127</v>
      </c>
      <c r="T34" s="7" t="s">
        <v>262</v>
      </c>
      <c r="U34" s="7" t="s">
        <v>20</v>
      </c>
      <c r="V34" s="24" t="e">
        <f t="shared" ca="1" si="2"/>
        <v>#NAME?</v>
      </c>
      <c r="W34" s="7"/>
      <c r="X34" s="7"/>
      <c r="Y34" s="29" t="s">
        <v>129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263</v>
      </c>
      <c r="C35" s="4" t="s">
        <v>264</v>
      </c>
      <c r="D35" s="7" t="s">
        <v>19</v>
      </c>
      <c r="E35" s="7" t="s">
        <v>66</v>
      </c>
      <c r="F35" s="7" t="s">
        <v>265</v>
      </c>
      <c r="G35" s="7" t="e">
        <f t="shared" ca="1" si="0"/>
        <v>#NAME?</v>
      </c>
      <c r="H35" s="24" t="s">
        <v>134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127</v>
      </c>
      <c r="T35" s="7" t="s">
        <v>266</v>
      </c>
      <c r="U35" s="7" t="s">
        <v>20</v>
      </c>
      <c r="V35" s="24" t="e">
        <f t="shared" ca="1" si="2"/>
        <v>#NAME?</v>
      </c>
      <c r="W35" s="7"/>
      <c r="X35" s="7"/>
      <c r="Y35" s="29" t="s">
        <v>129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267</v>
      </c>
      <c r="C36" s="4" t="s">
        <v>268</v>
      </c>
      <c r="D36" s="7" t="s">
        <v>19</v>
      </c>
      <c r="E36" s="7" t="s">
        <v>20</v>
      </c>
      <c r="F36" s="7" t="s">
        <v>195</v>
      </c>
      <c r="G36" s="7" t="e">
        <f t="shared" ca="1" si="0"/>
        <v>#NAME?</v>
      </c>
      <c r="H36" s="24" t="s">
        <v>134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127</v>
      </c>
      <c r="T36" s="7" t="s">
        <v>269</v>
      </c>
      <c r="U36" s="7" t="s">
        <v>20</v>
      </c>
      <c r="V36" s="24" t="e">
        <f t="shared" ca="1" si="2"/>
        <v>#NAME?</v>
      </c>
      <c r="W36" s="7"/>
      <c r="X36" s="7" t="s">
        <v>137</v>
      </c>
      <c r="Y36" s="29" t="s">
        <v>129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270</v>
      </c>
      <c r="C37" s="4" t="s">
        <v>271</v>
      </c>
      <c r="D37" s="7" t="s">
        <v>46</v>
      </c>
      <c r="E37" s="7" t="s">
        <v>20</v>
      </c>
      <c r="F37" s="7" t="s">
        <v>124</v>
      </c>
      <c r="G37" s="7" t="e">
        <f t="shared" ca="1" si="0"/>
        <v>#NAME?</v>
      </c>
      <c r="H37" s="24" t="s">
        <v>125</v>
      </c>
      <c r="I37" s="24" t="s">
        <v>25</v>
      </c>
      <c r="J37" s="7" t="s">
        <v>165</v>
      </c>
      <c r="K37" s="25">
        <v>45355</v>
      </c>
      <c r="L37" s="25">
        <v>45513</v>
      </c>
      <c r="M37" s="7" t="s">
        <v>272</v>
      </c>
      <c r="N37" s="26">
        <v>0.01</v>
      </c>
      <c r="O37" s="7" t="s">
        <v>39</v>
      </c>
      <c r="P37" s="27">
        <v>0.1</v>
      </c>
      <c r="Q37" s="28"/>
      <c r="R37" s="28" t="s">
        <v>273</v>
      </c>
      <c r="S37" s="7" t="s">
        <v>171</v>
      </c>
      <c r="T37" s="7" t="s">
        <v>274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275</v>
      </c>
      <c r="C38" s="4" t="s">
        <v>276</v>
      </c>
      <c r="D38" s="7" t="s">
        <v>46</v>
      </c>
      <c r="E38" s="7" t="s">
        <v>20</v>
      </c>
      <c r="F38" s="7" t="s">
        <v>277</v>
      </c>
      <c r="G38" s="7" t="e">
        <f t="shared" ca="1" si="0"/>
        <v>#NAME?</v>
      </c>
      <c r="H38" s="24" t="s">
        <v>145</v>
      </c>
      <c r="I38" s="24" t="s">
        <v>146</v>
      </c>
      <c r="J38" s="7" t="str">
        <f t="shared" ref="J38:J43" si="4">IF(Q38=0,"Não","Sim")</f>
        <v>Não</v>
      </c>
      <c r="K38" s="25">
        <v>44973</v>
      </c>
      <c r="L38" s="7"/>
      <c r="M38" s="7" t="s">
        <v>185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127</v>
      </c>
      <c r="T38" s="7" t="s">
        <v>278</v>
      </c>
      <c r="U38" s="7" t="s">
        <v>20</v>
      </c>
      <c r="V38" s="24" t="e">
        <f t="shared" ca="1" si="2"/>
        <v>#NAME?</v>
      </c>
      <c r="W38" s="7"/>
      <c r="X38" s="7"/>
      <c r="Y38" s="29" t="s">
        <v>129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279</v>
      </c>
      <c r="C39" s="4" t="s">
        <v>280</v>
      </c>
      <c r="D39" s="7" t="s">
        <v>19</v>
      </c>
      <c r="E39" s="7" t="s">
        <v>20</v>
      </c>
      <c r="F39" s="7" t="s">
        <v>184</v>
      </c>
      <c r="G39" s="7" t="e">
        <f t="shared" ca="1" si="0"/>
        <v>#NAME?</v>
      </c>
      <c r="H39" s="24" t="s">
        <v>134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127</v>
      </c>
      <c r="T39" s="7" t="s">
        <v>281</v>
      </c>
      <c r="U39" s="7" t="s">
        <v>282</v>
      </c>
      <c r="V39" s="24" t="e">
        <f t="shared" ca="1" si="2"/>
        <v>#NAME?</v>
      </c>
      <c r="W39" s="7"/>
      <c r="X39" s="7"/>
      <c r="Y39" s="29" t="s">
        <v>129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283</v>
      </c>
      <c r="C40" s="4" t="s">
        <v>284</v>
      </c>
      <c r="D40" s="7" t="s">
        <v>19</v>
      </c>
      <c r="E40" s="7" t="s">
        <v>66</v>
      </c>
      <c r="F40" s="7" t="s">
        <v>144</v>
      </c>
      <c r="G40" s="7" t="e">
        <f t="shared" ca="1" si="0"/>
        <v>#NAME?</v>
      </c>
      <c r="H40" s="24" t="s">
        <v>134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127</v>
      </c>
      <c r="T40" s="7" t="s">
        <v>285</v>
      </c>
      <c r="U40" s="7" t="s">
        <v>66</v>
      </c>
      <c r="V40" s="24" t="e">
        <f t="shared" ca="1" si="2"/>
        <v>#NAME?</v>
      </c>
      <c r="W40" s="7"/>
      <c r="X40" s="7"/>
      <c r="Y40" s="29" t="s">
        <v>240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286</v>
      </c>
      <c r="C41" s="4" t="s">
        <v>287</v>
      </c>
      <c r="D41" s="7" t="s">
        <v>19</v>
      </c>
      <c r="E41" s="7" t="s">
        <v>66</v>
      </c>
      <c r="F41" s="7" t="s">
        <v>67</v>
      </c>
      <c r="G41" s="7" t="e">
        <f t="shared" ca="1" si="0"/>
        <v>#NAME?</v>
      </c>
      <c r="H41" s="24" t="s">
        <v>145</v>
      </c>
      <c r="I41" s="24" t="s">
        <v>208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127</v>
      </c>
      <c r="T41" s="7" t="s">
        <v>288</v>
      </c>
      <c r="U41" s="7" t="s">
        <v>66</v>
      </c>
      <c r="V41" s="24" t="e">
        <f t="shared" ca="1" si="2"/>
        <v>#NAME?</v>
      </c>
      <c r="W41" s="7"/>
      <c r="X41" s="7"/>
      <c r="Y41" s="29" t="s">
        <v>129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289</v>
      </c>
      <c r="C42" s="39" t="s">
        <v>290</v>
      </c>
      <c r="D42" s="7" t="s">
        <v>46</v>
      </c>
      <c r="E42" s="7" t="s">
        <v>20</v>
      </c>
      <c r="F42" s="7" t="s">
        <v>124</v>
      </c>
      <c r="G42" s="7" t="e">
        <f t="shared" ca="1" si="0"/>
        <v>#NAME?</v>
      </c>
      <c r="H42" s="24" t="s">
        <v>125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127</v>
      </c>
      <c r="T42" s="6" t="s">
        <v>291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292</v>
      </c>
      <c r="C43" s="41" t="s">
        <v>293</v>
      </c>
      <c r="D43" s="7" t="s">
        <v>19</v>
      </c>
      <c r="E43" s="7" t="s">
        <v>35</v>
      </c>
      <c r="F43" s="7" t="s">
        <v>250</v>
      </c>
      <c r="G43" s="7" t="e">
        <f t="shared" ca="1" si="0"/>
        <v>#NAME?</v>
      </c>
      <c r="H43" s="24" t="s">
        <v>134</v>
      </c>
      <c r="I43" s="24" t="s">
        <v>25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127</v>
      </c>
      <c r="T43" s="7" t="s">
        <v>294</v>
      </c>
      <c r="U43" s="7" t="s">
        <v>202</v>
      </c>
      <c r="V43" s="24" t="e">
        <f t="shared" ca="1" si="2"/>
        <v>#NAME?</v>
      </c>
      <c r="W43" s="7"/>
      <c r="X43" s="7"/>
      <c r="Y43" s="29" t="s">
        <v>129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295</v>
      </c>
      <c r="C44" s="49" t="s">
        <v>296</v>
      </c>
      <c r="D44" s="7" t="s">
        <v>19</v>
      </c>
      <c r="E44" s="7" t="s">
        <v>20</v>
      </c>
      <c r="F44" s="7" t="s">
        <v>195</v>
      </c>
      <c r="G44" s="7" t="e">
        <f t="shared" ca="1" si="0"/>
        <v>#NAME?</v>
      </c>
      <c r="H44" s="24" t="s">
        <v>125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297</v>
      </c>
      <c r="S44" s="7" t="s">
        <v>127</v>
      </c>
      <c r="T44" s="7" t="s">
        <v>298</v>
      </c>
      <c r="U44" s="7" t="s">
        <v>20</v>
      </c>
      <c r="V44" s="24" t="e">
        <f t="shared" ca="1" si="2"/>
        <v>#NAME?</v>
      </c>
      <c r="W44" s="7"/>
      <c r="X44" s="7"/>
      <c r="Y44" s="29" t="s">
        <v>129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299</v>
      </c>
      <c r="C45" s="50" t="s">
        <v>300</v>
      </c>
      <c r="D45" s="7" t="s">
        <v>46</v>
      </c>
      <c r="E45" s="7" t="s">
        <v>20</v>
      </c>
      <c r="F45" s="7" t="s">
        <v>189</v>
      </c>
      <c r="G45" s="7" t="e">
        <f t="shared" ca="1" si="0"/>
        <v>#NAME?</v>
      </c>
      <c r="H45" s="24" t="s">
        <v>145</v>
      </c>
      <c r="I45" s="24" t="s">
        <v>190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127</v>
      </c>
      <c r="T45" s="7" t="s">
        <v>301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302</v>
      </c>
      <c r="C46" s="55" t="s">
        <v>303</v>
      </c>
      <c r="D46" s="7" t="s">
        <v>19</v>
      </c>
      <c r="E46" s="7" t="s">
        <v>35</v>
      </c>
      <c r="F46" s="7" t="s">
        <v>199</v>
      </c>
      <c r="G46" s="7" t="e">
        <f t="shared" ca="1" si="0"/>
        <v>#NAME?</v>
      </c>
      <c r="H46" s="24" t="s">
        <v>134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304</v>
      </c>
      <c r="S46" s="7" t="s">
        <v>127</v>
      </c>
      <c r="T46" s="7" t="s">
        <v>305</v>
      </c>
      <c r="U46" s="7" t="s">
        <v>202</v>
      </c>
      <c r="V46" s="24" t="e">
        <f t="shared" ca="1" si="2"/>
        <v>#NAME?</v>
      </c>
      <c r="W46" s="7"/>
      <c r="X46" s="7"/>
      <c r="Y46" s="29" t="s">
        <v>129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306</v>
      </c>
      <c r="C47" s="4" t="s">
        <v>307</v>
      </c>
      <c r="D47" s="7" t="s">
        <v>19</v>
      </c>
      <c r="E47" s="7" t="s">
        <v>35</v>
      </c>
      <c r="F47" s="7" t="s">
        <v>199</v>
      </c>
      <c r="G47" s="7" t="e">
        <f t="shared" ca="1" si="0"/>
        <v>#NAME?</v>
      </c>
      <c r="H47" s="24" t="s">
        <v>134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185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127</v>
      </c>
      <c r="T47" s="7" t="s">
        <v>308</v>
      </c>
      <c r="U47" s="7" t="s">
        <v>202</v>
      </c>
      <c r="V47" s="24" t="e">
        <f t="shared" ca="1" si="2"/>
        <v>#NAME?</v>
      </c>
      <c r="W47" s="7"/>
      <c r="X47" s="7"/>
      <c r="Y47" s="29" t="s">
        <v>129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306</v>
      </c>
      <c r="C48" s="4" t="s">
        <v>309</v>
      </c>
      <c r="D48" s="7" t="s">
        <v>19</v>
      </c>
      <c r="E48" s="7" t="s">
        <v>35</v>
      </c>
      <c r="F48" s="7" t="s">
        <v>199</v>
      </c>
      <c r="G48" s="7" t="e">
        <f t="shared" ca="1" si="0"/>
        <v>#NAME?</v>
      </c>
      <c r="H48" s="24" t="s">
        <v>145</v>
      </c>
      <c r="I48" s="24" t="s">
        <v>146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127</v>
      </c>
      <c r="T48" s="7" t="s">
        <v>308</v>
      </c>
      <c r="U48" s="7" t="s">
        <v>202</v>
      </c>
      <c r="V48" s="24" t="e">
        <f t="shared" ca="1" si="2"/>
        <v>#NAME?</v>
      </c>
      <c r="W48" s="7"/>
      <c r="X48" s="7"/>
      <c r="Y48" s="29" t="s">
        <v>129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310</v>
      </c>
      <c r="C49" s="4" t="s">
        <v>311</v>
      </c>
      <c r="D49" s="7" t="s">
        <v>19</v>
      </c>
      <c r="E49" s="7" t="s">
        <v>35</v>
      </c>
      <c r="F49" s="7" t="s">
        <v>199</v>
      </c>
      <c r="G49" s="7" t="e">
        <f t="shared" ca="1" si="0"/>
        <v>#NAME?</v>
      </c>
      <c r="H49" s="24" t="s">
        <v>134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312</v>
      </c>
      <c r="S49" s="7" t="s">
        <v>127</v>
      </c>
      <c r="T49" s="7" t="s">
        <v>313</v>
      </c>
      <c r="U49" s="7" t="s">
        <v>202</v>
      </c>
      <c r="V49" s="24" t="e">
        <f t="shared" ca="1" si="2"/>
        <v>#NAME?</v>
      </c>
      <c r="W49" s="7"/>
      <c r="X49" s="7"/>
      <c r="Y49" s="29" t="s">
        <v>129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314</v>
      </c>
      <c r="C50" s="4" t="s">
        <v>315</v>
      </c>
      <c r="D50" s="7" t="s">
        <v>19</v>
      </c>
      <c r="E50" s="7" t="s">
        <v>66</v>
      </c>
      <c r="F50" s="7" t="s">
        <v>316</v>
      </c>
      <c r="G50" s="7" t="e">
        <f t="shared" ca="1" si="0"/>
        <v>#NAME?</v>
      </c>
      <c r="H50" s="24" t="s">
        <v>145</v>
      </c>
      <c r="I50" s="24" t="s">
        <v>146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317</v>
      </c>
      <c r="S50" s="7" t="s">
        <v>127</v>
      </c>
      <c r="T50" s="7" t="s">
        <v>318</v>
      </c>
      <c r="U50" s="7" t="s">
        <v>66</v>
      </c>
      <c r="V50" s="24" t="e">
        <f t="shared" ca="1" si="2"/>
        <v>#NAME?</v>
      </c>
      <c r="W50" s="7"/>
      <c r="X50" s="7"/>
      <c r="Y50" s="29" t="s">
        <v>129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319</v>
      </c>
      <c r="C51" s="59" t="s">
        <v>320</v>
      </c>
      <c r="D51" s="7" t="s">
        <v>19</v>
      </c>
      <c r="E51" s="7" t="s">
        <v>35</v>
      </c>
      <c r="F51" s="7" t="s">
        <v>250</v>
      </c>
      <c r="G51" s="7" t="e">
        <f t="shared" ca="1" si="0"/>
        <v>#NAME?</v>
      </c>
      <c r="H51" s="24" t="s">
        <v>134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321</v>
      </c>
      <c r="S51" s="7" t="s">
        <v>127</v>
      </c>
      <c r="T51" s="7" t="s">
        <v>322</v>
      </c>
      <c r="U51" s="7" t="s">
        <v>202</v>
      </c>
      <c r="V51" s="24" t="e">
        <f t="shared" ca="1" si="2"/>
        <v>#NAME?</v>
      </c>
      <c r="W51" s="7"/>
      <c r="X51" s="7"/>
      <c r="Y51" s="29" t="s">
        <v>129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323</v>
      </c>
      <c r="C52" s="59" t="s">
        <v>324</v>
      </c>
      <c r="D52" s="7" t="s">
        <v>55</v>
      </c>
      <c r="E52" s="7" t="s">
        <v>20</v>
      </c>
      <c r="F52" s="7" t="s">
        <v>325</v>
      </c>
      <c r="G52" s="7" t="e">
        <f t="shared" ca="1" si="0"/>
        <v>#NAME?</v>
      </c>
      <c r="H52" s="24" t="s">
        <v>134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127</v>
      </c>
      <c r="T52" s="7" t="s">
        <v>326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129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327</v>
      </c>
      <c r="C53" s="4" t="s">
        <v>328</v>
      </c>
      <c r="D53" s="7" t="s">
        <v>19</v>
      </c>
      <c r="E53" s="7" t="s">
        <v>35</v>
      </c>
      <c r="F53" s="7" t="s">
        <v>199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329</v>
      </c>
      <c r="R53" s="28"/>
      <c r="S53" s="7" t="s">
        <v>127</v>
      </c>
      <c r="T53" s="7" t="s">
        <v>330</v>
      </c>
      <c r="U53" s="7" t="s">
        <v>202</v>
      </c>
      <c r="V53" s="24" t="e">
        <f t="shared" ca="1" si="2"/>
        <v>#NAME?</v>
      </c>
      <c r="W53" s="7"/>
      <c r="X53" s="7"/>
      <c r="Y53" s="29" t="s">
        <v>129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331</v>
      </c>
      <c r="C54" s="4" t="s">
        <v>332</v>
      </c>
      <c r="D54" s="7" t="s">
        <v>46</v>
      </c>
      <c r="E54" s="7" t="s">
        <v>20</v>
      </c>
      <c r="F54" s="7" t="s">
        <v>124</v>
      </c>
      <c r="G54" s="7" t="e">
        <f t="shared" ca="1" si="0"/>
        <v>#NAME?</v>
      </c>
      <c r="H54" s="24" t="s">
        <v>125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333</v>
      </c>
      <c r="N54" s="26">
        <v>6.0000000000000001E-3</v>
      </c>
      <c r="O54" s="7" t="s">
        <v>25</v>
      </c>
      <c r="P54" s="27">
        <v>0</v>
      </c>
      <c r="Q54" s="28"/>
      <c r="R54" s="28" t="s">
        <v>334</v>
      </c>
      <c r="S54" s="7" t="s">
        <v>127</v>
      </c>
      <c r="T54" s="7" t="s">
        <v>335</v>
      </c>
      <c r="U54" s="7" t="s">
        <v>41</v>
      </c>
      <c r="V54" s="24" t="e">
        <f t="shared" ca="1" si="2"/>
        <v>#NAME?</v>
      </c>
      <c r="W54" s="7"/>
      <c r="X54" s="7"/>
      <c r="Y54" s="29" t="s">
        <v>129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336</v>
      </c>
      <c r="C55" s="60" t="s">
        <v>337</v>
      </c>
      <c r="D55" s="7" t="s">
        <v>46</v>
      </c>
      <c r="E55" s="7" t="s">
        <v>20</v>
      </c>
      <c r="F55" s="7" t="s">
        <v>124</v>
      </c>
      <c r="G55" s="7" t="e">
        <f t="shared" ca="1" si="0"/>
        <v>#NAME?</v>
      </c>
      <c r="H55" s="24" t="s">
        <v>125</v>
      </c>
      <c r="I55" s="24" t="s">
        <v>25</v>
      </c>
      <c r="J55" s="7" t="s">
        <v>165</v>
      </c>
      <c r="K55" s="25">
        <v>45296</v>
      </c>
      <c r="L55" s="25">
        <v>45492</v>
      </c>
      <c r="M55" s="7" t="s">
        <v>338</v>
      </c>
      <c r="N55" s="26">
        <v>6.0000000000000001E-3</v>
      </c>
      <c r="O55" s="7" t="s">
        <v>25</v>
      </c>
      <c r="P55" s="27">
        <v>0</v>
      </c>
      <c r="Q55" s="28"/>
      <c r="R55" s="61" t="s">
        <v>339</v>
      </c>
      <c r="S55" s="7" t="s">
        <v>127</v>
      </c>
      <c r="T55" s="7" t="s">
        <v>335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340</v>
      </c>
      <c r="C56" s="39" t="s">
        <v>341</v>
      </c>
      <c r="D56" s="7" t="s">
        <v>55</v>
      </c>
      <c r="E56" s="7" t="s">
        <v>20</v>
      </c>
      <c r="F56" s="7" t="s">
        <v>325</v>
      </c>
      <c r="G56" s="7" t="e">
        <f t="shared" ca="1" si="0"/>
        <v>#NAME?</v>
      </c>
      <c r="H56" s="24" t="s">
        <v>134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127</v>
      </c>
      <c r="T56" s="7" t="s">
        <v>342</v>
      </c>
      <c r="U56" s="7" t="s">
        <v>20</v>
      </c>
      <c r="V56" s="24" t="e">
        <f t="shared" ca="1" si="2"/>
        <v>#NAME?</v>
      </c>
      <c r="W56" s="7"/>
      <c r="X56" s="7"/>
      <c r="Y56" s="29" t="s">
        <v>129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343</v>
      </c>
      <c r="C57" s="4" t="s">
        <v>344</v>
      </c>
      <c r="D57" s="7" t="s">
        <v>19</v>
      </c>
      <c r="E57" s="7" t="s">
        <v>20</v>
      </c>
      <c r="F57" s="7" t="s">
        <v>195</v>
      </c>
      <c r="G57" s="7" t="e">
        <f t="shared" ca="1" si="0"/>
        <v>#NAME?</v>
      </c>
      <c r="H57" s="24" t="s">
        <v>145</v>
      </c>
      <c r="I57" s="24" t="s">
        <v>146</v>
      </c>
      <c r="J57" s="7" t="str">
        <f t="shared" si="7"/>
        <v>Não</v>
      </c>
      <c r="K57" s="25">
        <v>45296</v>
      </c>
      <c r="L57" s="7"/>
      <c r="M57" s="9" t="s">
        <v>345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127</v>
      </c>
      <c r="T57" s="7" t="s">
        <v>346</v>
      </c>
      <c r="U57" s="7" t="s">
        <v>20</v>
      </c>
      <c r="V57" s="24" t="e">
        <f t="shared" ca="1" si="2"/>
        <v>#NAME?</v>
      </c>
      <c r="W57" s="7"/>
      <c r="X57" s="7"/>
      <c r="Y57" s="29" t="s">
        <v>129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347</v>
      </c>
      <c r="C58" s="62" t="s">
        <v>348</v>
      </c>
      <c r="D58" s="7" t="s">
        <v>19</v>
      </c>
      <c r="E58" s="7" t="s">
        <v>66</v>
      </c>
      <c r="F58" s="7" t="s">
        <v>67</v>
      </c>
      <c r="G58" s="7" t="e">
        <f t="shared" ca="1" si="0"/>
        <v>#NAME?</v>
      </c>
      <c r="H58" s="24" t="s">
        <v>134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127</v>
      </c>
      <c r="T58" s="7" t="s">
        <v>349</v>
      </c>
      <c r="U58" s="7" t="s">
        <v>350</v>
      </c>
      <c r="V58" s="24" t="e">
        <f t="shared" ca="1" si="2"/>
        <v>#NAME?</v>
      </c>
      <c r="W58" s="7"/>
      <c r="X58" s="7"/>
      <c r="Y58" s="29" t="s">
        <v>129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351</v>
      </c>
      <c r="C59" s="63" t="s">
        <v>352</v>
      </c>
      <c r="D59" s="7" t="s">
        <v>19</v>
      </c>
      <c r="E59" s="7" t="s">
        <v>35</v>
      </c>
      <c r="F59" s="7" t="s">
        <v>199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185</v>
      </c>
      <c r="N59" s="26">
        <v>8.9999999999999993E-3</v>
      </c>
      <c r="O59" s="7" t="s">
        <v>25</v>
      </c>
      <c r="P59" s="27">
        <v>0</v>
      </c>
      <c r="Q59" s="28"/>
      <c r="R59" s="28" t="s">
        <v>353</v>
      </c>
      <c r="S59" s="7" t="s">
        <v>127</v>
      </c>
      <c r="T59" s="7" t="s">
        <v>354</v>
      </c>
      <c r="U59" s="7" t="s">
        <v>202</v>
      </c>
      <c r="V59" s="24" t="e">
        <f t="shared" ca="1" si="2"/>
        <v>#NAME?</v>
      </c>
      <c r="W59" s="7"/>
      <c r="X59" s="7"/>
      <c r="Y59" s="29" t="s">
        <v>129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351</v>
      </c>
      <c r="C60" s="4" t="s">
        <v>355</v>
      </c>
      <c r="D60" s="7" t="s">
        <v>19</v>
      </c>
      <c r="E60" s="7" t="s">
        <v>35</v>
      </c>
      <c r="F60" s="7" t="s">
        <v>199</v>
      </c>
      <c r="G60" s="7" t="e">
        <f t="shared" ca="1" si="0"/>
        <v>#NAME?</v>
      </c>
      <c r="H60" s="24" t="s">
        <v>125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245</v>
      </c>
      <c r="N60" s="26">
        <v>8.0000000000000002E-3</v>
      </c>
      <c r="O60" s="7" t="s">
        <v>246</v>
      </c>
      <c r="P60" s="27">
        <v>0.1</v>
      </c>
      <c r="Q60" s="28"/>
      <c r="R60" s="28"/>
      <c r="S60" s="7" t="s">
        <v>127</v>
      </c>
      <c r="T60" s="7" t="s">
        <v>354</v>
      </c>
      <c r="U60" s="7" t="s">
        <v>202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356</v>
      </c>
      <c r="C61" s="63" t="s">
        <v>357</v>
      </c>
      <c r="D61" s="7" t="s">
        <v>19</v>
      </c>
      <c r="E61" s="7" t="s">
        <v>35</v>
      </c>
      <c r="F61" s="7" t="s">
        <v>199</v>
      </c>
      <c r="G61" s="7" t="e">
        <f t="shared" ca="1" si="0"/>
        <v>#NAME?</v>
      </c>
      <c r="H61" s="24" t="s">
        <v>145</v>
      </c>
      <c r="I61" s="24" t="s">
        <v>146</v>
      </c>
      <c r="J61" s="7" t="str">
        <f t="shared" si="7"/>
        <v>Não</v>
      </c>
      <c r="K61" s="25">
        <v>45020</v>
      </c>
      <c r="L61" s="7"/>
      <c r="M61" s="7" t="s">
        <v>242</v>
      </c>
      <c r="N61" s="26">
        <v>2.5000000000000001E-2</v>
      </c>
      <c r="O61" s="7" t="s">
        <v>167</v>
      </c>
      <c r="P61" s="27">
        <v>0.2</v>
      </c>
      <c r="Q61" s="28"/>
      <c r="R61" s="28" t="s">
        <v>353</v>
      </c>
      <c r="S61" s="7" t="s">
        <v>127</v>
      </c>
      <c r="T61" s="7" t="s">
        <v>354</v>
      </c>
      <c r="U61" s="7" t="s">
        <v>202</v>
      </c>
      <c r="V61" s="24" t="e">
        <f t="shared" ca="1" si="2"/>
        <v>#NAME?</v>
      </c>
      <c r="W61" s="7"/>
      <c r="X61" s="7"/>
      <c r="Y61" s="29" t="s">
        <v>129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358</v>
      </c>
      <c r="C62" s="64" t="s">
        <v>359</v>
      </c>
      <c r="D62" s="7" t="s">
        <v>19</v>
      </c>
      <c r="E62" s="7" t="s">
        <v>20</v>
      </c>
      <c r="F62" s="7" t="s">
        <v>360</v>
      </c>
      <c r="G62" s="7" t="e">
        <f t="shared" ca="1" si="0"/>
        <v>#NAME?</v>
      </c>
      <c r="H62" s="24" t="s">
        <v>145</v>
      </c>
      <c r="I62" s="24" t="s">
        <v>229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127</v>
      </c>
      <c r="T62" s="7" t="s">
        <v>361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129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362</v>
      </c>
      <c r="C63" s="4" t="s">
        <v>363</v>
      </c>
      <c r="D63" s="7" t="s">
        <v>19</v>
      </c>
      <c r="E63" s="7" t="s">
        <v>35</v>
      </c>
      <c r="F63" s="7" t="s">
        <v>250</v>
      </c>
      <c r="G63" s="7" t="e">
        <f t="shared" ca="1" si="0"/>
        <v>#NAME?</v>
      </c>
      <c r="H63" s="24" t="s">
        <v>134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185</v>
      </c>
      <c r="N63" s="26">
        <v>1.4999999999999999E-2</v>
      </c>
      <c r="O63" s="7" t="s">
        <v>39</v>
      </c>
      <c r="P63" s="27">
        <v>0.1</v>
      </c>
      <c r="Q63" s="28"/>
      <c r="R63" s="28" t="s">
        <v>364</v>
      </c>
      <c r="S63" s="7" t="s">
        <v>127</v>
      </c>
      <c r="T63" s="7" t="s">
        <v>365</v>
      </c>
      <c r="U63" s="7" t="s">
        <v>202</v>
      </c>
      <c r="V63" s="24" t="e">
        <f t="shared" ca="1" si="2"/>
        <v>#NAME?</v>
      </c>
      <c r="W63" s="7"/>
      <c r="X63" s="7"/>
      <c r="Y63" s="29" t="s">
        <v>129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366</v>
      </c>
      <c r="C64" s="44" t="s">
        <v>367</v>
      </c>
      <c r="D64" s="7" t="s">
        <v>19</v>
      </c>
      <c r="E64" s="7" t="s">
        <v>20</v>
      </c>
      <c r="F64" s="9" t="s">
        <v>155</v>
      </c>
      <c r="G64" s="7" t="e">
        <f t="shared" ca="1" si="0"/>
        <v>#NAME?</v>
      </c>
      <c r="H64" s="24" t="s">
        <v>134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368</v>
      </c>
      <c r="S64" s="7" t="s">
        <v>127</v>
      </c>
      <c r="T64" s="7" t="s">
        <v>369</v>
      </c>
      <c r="U64" s="7" t="s">
        <v>20</v>
      </c>
      <c r="V64" s="24" t="e">
        <f t="shared" ca="1" si="2"/>
        <v>#NAME?</v>
      </c>
      <c r="W64" s="7"/>
      <c r="X64" s="7"/>
      <c r="Y64" s="29" t="s">
        <v>129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366</v>
      </c>
      <c r="C65" s="4" t="s">
        <v>370</v>
      </c>
      <c r="D65" s="7" t="s">
        <v>19</v>
      </c>
      <c r="E65" s="7" t="s">
        <v>20</v>
      </c>
      <c r="F65" s="9" t="s">
        <v>155</v>
      </c>
      <c r="G65" s="7" t="e">
        <f t="shared" ca="1" si="0"/>
        <v>#NAME?</v>
      </c>
      <c r="H65" s="24" t="s">
        <v>145</v>
      </c>
      <c r="I65" s="24" t="s">
        <v>190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371</v>
      </c>
      <c r="S65" s="7" t="s">
        <v>127</v>
      </c>
      <c r="T65" s="7" t="s">
        <v>369</v>
      </c>
      <c r="U65" s="7" t="s">
        <v>20</v>
      </c>
      <c r="V65" s="24" t="e">
        <f t="shared" ca="1" si="2"/>
        <v>#NAME?</v>
      </c>
      <c r="W65" s="7"/>
      <c r="X65" s="7"/>
      <c r="Y65" s="29" t="s">
        <v>129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372</v>
      </c>
      <c r="C66" s="4" t="s">
        <v>373</v>
      </c>
      <c r="D66" s="7" t="s">
        <v>55</v>
      </c>
      <c r="E66" s="7" t="s">
        <v>20</v>
      </c>
      <c r="F66" s="9" t="s">
        <v>374</v>
      </c>
      <c r="G66" s="7" t="e">
        <f t="shared" ca="1" si="0"/>
        <v>#NAME?</v>
      </c>
      <c r="H66" s="24" t="s">
        <v>150</v>
      </c>
      <c r="I66" s="24" t="s">
        <v>208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127</v>
      </c>
      <c r="T66" s="7" t="s">
        <v>375</v>
      </c>
      <c r="U66" s="7" t="s">
        <v>20</v>
      </c>
      <c r="V66" s="24" t="e">
        <f t="shared" ca="1" si="2"/>
        <v>#NAME?</v>
      </c>
      <c r="W66" s="7"/>
      <c r="X66" s="7" t="s">
        <v>137</v>
      </c>
      <c r="Y66" s="29" t="s">
        <v>129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376</v>
      </c>
      <c r="C67" s="66" t="s">
        <v>377</v>
      </c>
      <c r="D67" s="7" t="s">
        <v>19</v>
      </c>
      <c r="E67" s="7" t="s">
        <v>20</v>
      </c>
      <c r="F67" s="7" t="s">
        <v>184</v>
      </c>
      <c r="G67" s="7" t="e">
        <f t="shared" ca="1" si="0"/>
        <v>#NAME?</v>
      </c>
      <c r="H67" s="24" t="s">
        <v>134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127</v>
      </c>
      <c r="T67" s="7" t="s">
        <v>378</v>
      </c>
      <c r="U67" s="7" t="s">
        <v>20</v>
      </c>
      <c r="V67" s="24" t="e">
        <f t="shared" ca="1" si="2"/>
        <v>#NAME?</v>
      </c>
      <c r="W67" s="7"/>
      <c r="X67" s="7"/>
      <c r="Y67" s="29" t="s">
        <v>129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379</v>
      </c>
      <c r="C68" s="66" t="s">
        <v>380</v>
      </c>
      <c r="D68" s="7" t="s">
        <v>19</v>
      </c>
      <c r="E68" s="7" t="s">
        <v>66</v>
      </c>
      <c r="F68" s="7" t="s">
        <v>67</v>
      </c>
      <c r="G68" s="7" t="e">
        <f t="shared" ca="1" si="0"/>
        <v>#NAME?</v>
      </c>
      <c r="H68" s="24" t="s">
        <v>134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127</v>
      </c>
      <c r="T68" s="7" t="s">
        <v>381</v>
      </c>
      <c r="U68" s="7" t="s">
        <v>66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382</v>
      </c>
      <c r="C69" s="4" t="s">
        <v>383</v>
      </c>
      <c r="D69" s="7" t="s">
        <v>19</v>
      </c>
      <c r="E69" s="7" t="s">
        <v>20</v>
      </c>
      <c r="F69" s="7" t="s">
        <v>360</v>
      </c>
      <c r="G69" s="7" t="e">
        <f t="shared" ca="1" si="0"/>
        <v>#NAME?</v>
      </c>
      <c r="H69" s="24" t="s">
        <v>145</v>
      </c>
      <c r="I69" s="24" t="s">
        <v>146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127</v>
      </c>
      <c r="T69" s="7" t="s">
        <v>384</v>
      </c>
      <c r="U69" s="7" t="s">
        <v>20</v>
      </c>
      <c r="V69" s="24" t="e">
        <f t="shared" ca="1" si="2"/>
        <v>#NAME?</v>
      </c>
      <c r="W69" s="7"/>
      <c r="X69" s="7"/>
      <c r="Y69" s="29" t="s">
        <v>129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385</v>
      </c>
      <c r="C70" s="4" t="s">
        <v>386</v>
      </c>
      <c r="D70" s="7" t="s">
        <v>19</v>
      </c>
      <c r="E70" s="7" t="s">
        <v>66</v>
      </c>
      <c r="F70" s="7" t="s">
        <v>265</v>
      </c>
      <c r="G70" s="7" t="e">
        <f t="shared" ca="1" si="0"/>
        <v>#NAME?</v>
      </c>
      <c r="H70" s="24" t="s">
        <v>145</v>
      </c>
      <c r="I70" s="24" t="s">
        <v>146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127</v>
      </c>
      <c r="T70" s="7" t="s">
        <v>387</v>
      </c>
      <c r="U70" s="7" t="s">
        <v>66</v>
      </c>
      <c r="V70" s="24" t="e">
        <f t="shared" ca="1" si="2"/>
        <v>#NAME?</v>
      </c>
      <c r="W70" s="7"/>
      <c r="X70" s="7"/>
      <c r="Y70" s="29" t="s">
        <v>240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388</v>
      </c>
      <c r="C71" s="4" t="s">
        <v>389</v>
      </c>
      <c r="D71" s="7" t="s">
        <v>19</v>
      </c>
      <c r="E71" s="7" t="s">
        <v>66</v>
      </c>
      <c r="F71" s="7" t="s">
        <v>144</v>
      </c>
      <c r="G71" s="7" t="e">
        <f t="shared" ca="1" si="0"/>
        <v>#NAME?</v>
      </c>
      <c r="H71" s="24" t="s">
        <v>125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390</v>
      </c>
      <c r="S71" s="7" t="s">
        <v>127</v>
      </c>
      <c r="T71" s="7" t="s">
        <v>391</v>
      </c>
      <c r="U71" s="7" t="s">
        <v>66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392</v>
      </c>
      <c r="C72" s="4" t="s">
        <v>393</v>
      </c>
      <c r="D72" s="7" t="s">
        <v>19</v>
      </c>
      <c r="E72" s="7" t="s">
        <v>66</v>
      </c>
      <c r="F72" s="7" t="s">
        <v>144</v>
      </c>
      <c r="G72" s="7" t="e">
        <f t="shared" ca="1" si="0"/>
        <v>#NAME?</v>
      </c>
      <c r="H72" s="24" t="s">
        <v>134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185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127</v>
      </c>
      <c r="T72" s="7" t="s">
        <v>394</v>
      </c>
      <c r="U72" s="7" t="s">
        <v>66</v>
      </c>
      <c r="V72" s="24" t="e">
        <f t="shared" ca="1" si="2"/>
        <v>#NAME?</v>
      </c>
      <c r="W72" s="7"/>
      <c r="X72" s="7"/>
      <c r="Y72" s="29" t="s">
        <v>129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395</v>
      </c>
      <c r="C73" s="4" t="s">
        <v>396</v>
      </c>
      <c r="D73" s="7" t="s">
        <v>19</v>
      </c>
      <c r="E73" s="7" t="s">
        <v>66</v>
      </c>
      <c r="F73" s="7" t="s">
        <v>67</v>
      </c>
      <c r="G73" s="7" t="e">
        <f t="shared" ca="1" si="0"/>
        <v>#NAME?</v>
      </c>
      <c r="H73" s="24" t="s">
        <v>134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127</v>
      </c>
      <c r="T73" s="7" t="s">
        <v>397</v>
      </c>
      <c r="U73" s="7" t="s">
        <v>20</v>
      </c>
      <c r="V73" s="24" t="e">
        <f t="shared" ca="1" si="2"/>
        <v>#NAME?</v>
      </c>
      <c r="W73" s="7"/>
      <c r="X73" s="7"/>
      <c r="Y73" s="29" t="s">
        <v>129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398</v>
      </c>
      <c r="C74" s="4" t="s">
        <v>399</v>
      </c>
      <c r="D74" s="7" t="s">
        <v>19</v>
      </c>
      <c r="E74" s="7" t="s">
        <v>20</v>
      </c>
      <c r="F74" s="7" t="s">
        <v>325</v>
      </c>
      <c r="G74" s="7" t="e">
        <f t="shared" ca="1" si="0"/>
        <v>#NAME?</v>
      </c>
      <c r="H74" s="24" t="s">
        <v>150</v>
      </c>
      <c r="I74" s="24" t="s">
        <v>208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127</v>
      </c>
      <c r="T74" s="7" t="s">
        <v>400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129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401</v>
      </c>
      <c r="C75" s="4" t="s">
        <v>402</v>
      </c>
      <c r="D75" s="7" t="s">
        <v>19</v>
      </c>
      <c r="E75" s="7" t="s">
        <v>66</v>
      </c>
      <c r="F75" s="7" t="s">
        <v>67</v>
      </c>
      <c r="G75" s="7" t="e">
        <f t="shared" ca="1" si="0"/>
        <v>#NAME?</v>
      </c>
      <c r="H75" s="24" t="s">
        <v>145</v>
      </c>
      <c r="I75" s="24" t="s">
        <v>146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127</v>
      </c>
      <c r="T75" s="7" t="s">
        <v>403</v>
      </c>
      <c r="U75" s="7" t="s">
        <v>66</v>
      </c>
      <c r="V75" s="24" t="e">
        <f t="shared" ca="1" si="2"/>
        <v>#NAME?</v>
      </c>
      <c r="W75" s="7"/>
      <c r="X75" s="7"/>
      <c r="Y75" s="29" t="s">
        <v>129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404</v>
      </c>
      <c r="C76" s="4" t="s">
        <v>405</v>
      </c>
      <c r="D76" s="7" t="s">
        <v>55</v>
      </c>
      <c r="E76" s="7" t="s">
        <v>20</v>
      </c>
      <c r="F76" s="7" t="s">
        <v>374</v>
      </c>
      <c r="G76" s="7" t="e">
        <f t="shared" ca="1" si="0"/>
        <v>#NAME?</v>
      </c>
      <c r="H76" s="24" t="s">
        <v>134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127</v>
      </c>
      <c r="T76" s="7" t="s">
        <v>406</v>
      </c>
      <c r="U76" s="7" t="s">
        <v>20</v>
      </c>
      <c r="V76" s="24" t="e">
        <f t="shared" ca="1" si="2"/>
        <v>#NAME?</v>
      </c>
      <c r="W76" s="7"/>
      <c r="X76" s="7"/>
      <c r="Y76" s="29" t="s">
        <v>129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407</v>
      </c>
      <c r="C77" s="4" t="s">
        <v>408</v>
      </c>
      <c r="D77" s="7" t="s">
        <v>19</v>
      </c>
      <c r="E77" s="7" t="s">
        <v>35</v>
      </c>
      <c r="F77" s="7" t="s">
        <v>199</v>
      </c>
      <c r="G77" s="7" t="e">
        <f t="shared" ca="1" si="0"/>
        <v>#NAME?</v>
      </c>
      <c r="H77" s="24" t="s">
        <v>134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409</v>
      </c>
      <c r="S77" s="7" t="s">
        <v>127</v>
      </c>
      <c r="T77" s="7" t="s">
        <v>410</v>
      </c>
      <c r="U77" s="7" t="s">
        <v>48</v>
      </c>
      <c r="V77" s="24" t="e">
        <f t="shared" ca="1" si="2"/>
        <v>#NAME?</v>
      </c>
      <c r="W77" s="7"/>
      <c r="X77" s="7"/>
      <c r="Y77" s="29" t="s">
        <v>129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411</v>
      </c>
      <c r="C78" s="4" t="s">
        <v>412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134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127</v>
      </c>
      <c r="T78" s="7" t="s">
        <v>413</v>
      </c>
      <c r="U78" s="7" t="s">
        <v>20</v>
      </c>
      <c r="V78" s="24" t="e">
        <f t="shared" ca="1" si="2"/>
        <v>#NAME?</v>
      </c>
      <c r="W78" s="7"/>
      <c r="X78" s="7"/>
      <c r="Y78" s="29" t="s">
        <v>129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414</v>
      </c>
      <c r="C79" s="4" t="s">
        <v>415</v>
      </c>
      <c r="D79" s="7" t="s">
        <v>19</v>
      </c>
      <c r="E79" s="7" t="s">
        <v>35</v>
      </c>
      <c r="F79" s="7" t="s">
        <v>250</v>
      </c>
      <c r="G79" s="7" t="e">
        <f t="shared" ca="1" si="0"/>
        <v>#NAME?</v>
      </c>
      <c r="H79" s="24" t="s">
        <v>134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185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127</v>
      </c>
      <c r="T79" s="7" t="s">
        <v>416</v>
      </c>
      <c r="U79" s="7" t="s">
        <v>202</v>
      </c>
      <c r="V79" s="24" t="e">
        <f t="shared" ca="1" si="2"/>
        <v>#NAME?</v>
      </c>
      <c r="W79" s="7"/>
      <c r="X79" s="7"/>
      <c r="Y79" s="29" t="s">
        <v>129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417</v>
      </c>
      <c r="C80" s="67" t="s">
        <v>418</v>
      </c>
      <c r="D80" s="7" t="s">
        <v>46</v>
      </c>
      <c r="E80" s="7" t="s">
        <v>20</v>
      </c>
      <c r="F80" s="7" t="s">
        <v>419</v>
      </c>
      <c r="G80" s="7" t="e">
        <f t="shared" ca="1" si="0"/>
        <v>#NAME?</v>
      </c>
      <c r="H80" s="24" t="s">
        <v>134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127</v>
      </c>
      <c r="T80" s="12" t="s">
        <v>420</v>
      </c>
      <c r="U80" s="7" t="s">
        <v>20</v>
      </c>
      <c r="V80" s="24" t="e">
        <f t="shared" ca="1" si="2"/>
        <v>#NAME?</v>
      </c>
      <c r="W80" s="7"/>
      <c r="X80" s="7" t="s">
        <v>152</v>
      </c>
      <c r="Y80" s="29" t="s">
        <v>421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422</v>
      </c>
      <c r="C81" s="67" t="s">
        <v>423</v>
      </c>
      <c r="D81" s="7" t="s">
        <v>46</v>
      </c>
      <c r="E81" s="7" t="s">
        <v>20</v>
      </c>
      <c r="F81" s="7" t="s">
        <v>124</v>
      </c>
      <c r="G81" s="7" t="e">
        <f t="shared" ca="1" si="0"/>
        <v>#NAME?</v>
      </c>
      <c r="H81" s="24" t="s">
        <v>125</v>
      </c>
      <c r="I81" s="24" t="s">
        <v>25</v>
      </c>
      <c r="J81" s="7" t="s">
        <v>165</v>
      </c>
      <c r="K81" s="25">
        <v>45113</v>
      </c>
      <c r="L81" s="25">
        <v>45513</v>
      </c>
      <c r="M81" s="7" t="s">
        <v>338</v>
      </c>
      <c r="N81" s="26">
        <v>6.0000000000000001E-3</v>
      </c>
      <c r="O81" s="7" t="s">
        <v>25</v>
      </c>
      <c r="P81" s="27">
        <v>0</v>
      </c>
      <c r="Q81" s="28"/>
      <c r="R81" s="28" t="s">
        <v>273</v>
      </c>
      <c r="S81" s="7" t="s">
        <v>171</v>
      </c>
      <c r="T81" s="12" t="s">
        <v>424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425</v>
      </c>
      <c r="C82" s="4" t="s">
        <v>426</v>
      </c>
      <c r="D82" s="7" t="s">
        <v>19</v>
      </c>
      <c r="E82" s="7" t="s">
        <v>35</v>
      </c>
      <c r="F82" s="7" t="s">
        <v>199</v>
      </c>
      <c r="G82" s="7" t="e">
        <f t="shared" ca="1" si="0"/>
        <v>#NAME?</v>
      </c>
      <c r="H82" s="24" t="s">
        <v>134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242</v>
      </c>
      <c r="N82" s="26">
        <v>6.4999999999999997E-3</v>
      </c>
      <c r="O82" s="7" t="s">
        <v>167</v>
      </c>
      <c r="P82" s="27">
        <v>0.2</v>
      </c>
      <c r="Q82" s="28"/>
      <c r="R82" s="28"/>
      <c r="S82" s="7" t="s">
        <v>127</v>
      </c>
      <c r="T82" s="7" t="s">
        <v>427</v>
      </c>
      <c r="U82" s="7" t="s">
        <v>202</v>
      </c>
      <c r="V82" s="24" t="e">
        <f t="shared" ca="1" si="2"/>
        <v>#NAME?</v>
      </c>
      <c r="W82" s="7"/>
      <c r="X82" s="7"/>
      <c r="Y82" s="29" t="s">
        <v>129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425</v>
      </c>
      <c r="C83" s="4" t="s">
        <v>428</v>
      </c>
      <c r="D83" s="7" t="s">
        <v>19</v>
      </c>
      <c r="E83" s="7" t="s">
        <v>35</v>
      </c>
      <c r="F83" s="7" t="s">
        <v>199</v>
      </c>
      <c r="G83" s="7" t="e">
        <f t="shared" ca="1" si="0"/>
        <v>#NAME?</v>
      </c>
      <c r="H83" s="24" t="s">
        <v>134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429</v>
      </c>
      <c r="S83" s="7" t="s">
        <v>127</v>
      </c>
      <c r="T83" s="7" t="s">
        <v>427</v>
      </c>
      <c r="U83" s="7" t="s">
        <v>202</v>
      </c>
      <c r="V83" s="24" t="e">
        <f t="shared" ca="1" si="2"/>
        <v>#NAME?</v>
      </c>
      <c r="W83" s="7"/>
      <c r="X83" s="7"/>
      <c r="Y83" s="29" t="s">
        <v>129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425</v>
      </c>
      <c r="C84" s="4" t="s">
        <v>430</v>
      </c>
      <c r="D84" s="7" t="s">
        <v>19</v>
      </c>
      <c r="E84" s="7" t="s">
        <v>35</v>
      </c>
      <c r="F84" s="7" t="s">
        <v>199</v>
      </c>
      <c r="G84" s="7" t="e">
        <f t="shared" ca="1" si="0"/>
        <v>#NAME?</v>
      </c>
      <c r="H84" s="24" t="s">
        <v>145</v>
      </c>
      <c r="I84" s="24" t="s">
        <v>229</v>
      </c>
      <c r="J84" s="7" t="str">
        <f t="shared" si="8"/>
        <v>Não</v>
      </c>
      <c r="K84" s="25">
        <v>45163</v>
      </c>
      <c r="L84" s="7"/>
      <c r="M84" s="7" t="s">
        <v>242</v>
      </c>
      <c r="N84" s="26">
        <v>0</v>
      </c>
      <c r="O84" s="7" t="s">
        <v>25</v>
      </c>
      <c r="P84" s="27">
        <v>0</v>
      </c>
      <c r="Q84" s="28"/>
      <c r="R84" s="28" t="s">
        <v>431</v>
      </c>
      <c r="S84" s="7" t="s">
        <v>127</v>
      </c>
      <c r="T84" s="7" t="s">
        <v>427</v>
      </c>
      <c r="U84" s="7" t="s">
        <v>202</v>
      </c>
      <c r="V84" s="24" t="e">
        <f t="shared" ca="1" si="2"/>
        <v>#NAME?</v>
      </c>
      <c r="W84" s="7"/>
      <c r="X84" s="7"/>
      <c r="Y84" s="29" t="s">
        <v>129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432</v>
      </c>
      <c r="C85" s="4" t="s">
        <v>433</v>
      </c>
      <c r="D85" s="7" t="s">
        <v>19</v>
      </c>
      <c r="E85" s="7" t="s">
        <v>66</v>
      </c>
      <c r="F85" s="7" t="s">
        <v>144</v>
      </c>
      <c r="G85" s="7" t="e">
        <f t="shared" ca="1" si="0"/>
        <v>#NAME?</v>
      </c>
      <c r="H85" s="24" t="s">
        <v>134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171</v>
      </c>
      <c r="T85" s="7" t="s">
        <v>434</v>
      </c>
      <c r="U85" s="7" t="s">
        <v>66</v>
      </c>
      <c r="V85" s="24" t="e">
        <f t="shared" ca="1" si="2"/>
        <v>#NAME?</v>
      </c>
      <c r="W85" s="7"/>
      <c r="X85" s="7"/>
      <c r="Y85" s="29" t="s">
        <v>129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435</v>
      </c>
      <c r="C86" s="4" t="s">
        <v>436</v>
      </c>
      <c r="D86" s="7" t="s">
        <v>19</v>
      </c>
      <c r="E86" s="7" t="s">
        <v>20</v>
      </c>
      <c r="F86" s="7" t="s">
        <v>437</v>
      </c>
      <c r="G86" s="7" t="e">
        <f t="shared" ca="1" si="0"/>
        <v>#NAME?</v>
      </c>
      <c r="H86" s="24" t="s">
        <v>145</v>
      </c>
      <c r="I86" s="24" t="s">
        <v>190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438</v>
      </c>
      <c r="R86" s="28"/>
      <c r="S86" s="7" t="s">
        <v>171</v>
      </c>
      <c r="T86" s="7" t="s">
        <v>439</v>
      </c>
      <c r="U86" s="7" t="s">
        <v>41</v>
      </c>
      <c r="V86" s="24" t="e">
        <f t="shared" ca="1" si="2"/>
        <v>#NAME?</v>
      </c>
      <c r="W86" s="7"/>
      <c r="X86" s="7"/>
      <c r="Y86" s="29" t="s">
        <v>440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441</v>
      </c>
      <c r="C87" s="4" t="s">
        <v>442</v>
      </c>
      <c r="D87" s="7" t="s">
        <v>19</v>
      </c>
      <c r="E87" s="7" t="s">
        <v>66</v>
      </c>
      <c r="F87" s="7" t="s">
        <v>144</v>
      </c>
      <c r="G87" s="7" t="e">
        <f t="shared" ca="1" si="0"/>
        <v>#NAME?</v>
      </c>
      <c r="H87" s="24" t="s">
        <v>134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185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127</v>
      </c>
      <c r="T87" s="7" t="s">
        <v>443</v>
      </c>
      <c r="U87" s="7" t="s">
        <v>66</v>
      </c>
      <c r="V87" s="24" t="e">
        <f t="shared" ca="1" si="2"/>
        <v>#NAME?</v>
      </c>
      <c r="W87" s="7"/>
      <c r="X87" s="7"/>
      <c r="Y87" s="29" t="s">
        <v>129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444</v>
      </c>
      <c r="C88" s="4" t="s">
        <v>445</v>
      </c>
      <c r="D88" s="7" t="s">
        <v>19</v>
      </c>
      <c r="E88" s="7" t="s">
        <v>66</v>
      </c>
      <c r="F88" s="7" t="s">
        <v>144</v>
      </c>
      <c r="G88" s="7" t="e">
        <f t="shared" ca="1" si="0"/>
        <v>#NAME?</v>
      </c>
      <c r="H88" s="24" t="s">
        <v>134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127</v>
      </c>
      <c r="T88" s="7" t="s">
        <v>446</v>
      </c>
      <c r="U88" s="7" t="s">
        <v>66</v>
      </c>
      <c r="V88" s="24" t="e">
        <f t="shared" ca="1" si="2"/>
        <v>#NAME?</v>
      </c>
      <c r="W88" s="7"/>
      <c r="X88" s="7"/>
      <c r="Y88" s="29" t="s">
        <v>129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447</v>
      </c>
      <c r="C89" s="41" t="s">
        <v>448</v>
      </c>
      <c r="D89" s="7" t="s">
        <v>19</v>
      </c>
      <c r="E89" s="7" t="s">
        <v>66</v>
      </c>
      <c r="F89" s="7" t="s">
        <v>144</v>
      </c>
      <c r="G89" s="7" t="e">
        <f t="shared" ca="1" si="0"/>
        <v>#NAME?</v>
      </c>
      <c r="H89" s="24" t="s">
        <v>134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449</v>
      </c>
      <c r="R89" s="28"/>
      <c r="S89" s="7" t="s">
        <v>127</v>
      </c>
      <c r="T89" s="7" t="s">
        <v>450</v>
      </c>
      <c r="U89" s="7" t="s">
        <v>66</v>
      </c>
      <c r="V89" s="24" t="e">
        <f t="shared" ca="1" si="2"/>
        <v>#NAME?</v>
      </c>
      <c r="W89" s="7"/>
      <c r="X89" s="7"/>
      <c r="Y89" s="29" t="s">
        <v>129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451</v>
      </c>
      <c r="C90" s="41" t="s">
        <v>452</v>
      </c>
      <c r="D90" s="7" t="s">
        <v>19</v>
      </c>
      <c r="E90" s="7" t="s">
        <v>66</v>
      </c>
      <c r="F90" s="70" t="s">
        <v>453</v>
      </c>
      <c r="G90" s="7" t="e">
        <f t="shared" ca="1" si="0"/>
        <v>#NAME?</v>
      </c>
      <c r="H90" s="24" t="s">
        <v>145</v>
      </c>
      <c r="I90" s="24" t="s">
        <v>146</v>
      </c>
      <c r="J90" s="7" t="str">
        <f t="shared" si="8"/>
        <v>Não</v>
      </c>
      <c r="K90" s="25">
        <v>45191</v>
      </c>
      <c r="L90" s="7"/>
      <c r="M90" s="7" t="s">
        <v>454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171</v>
      </c>
      <c r="T90" s="7" t="s">
        <v>455</v>
      </c>
      <c r="U90" s="7" t="s">
        <v>66</v>
      </c>
      <c r="V90" s="24" t="e">
        <f t="shared" ca="1" si="2"/>
        <v>#NAME?</v>
      </c>
      <c r="W90" s="7"/>
      <c r="X90" s="7"/>
      <c r="Y90" s="29" t="s">
        <v>129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456</v>
      </c>
      <c r="C91" s="4" t="s">
        <v>457</v>
      </c>
      <c r="D91" s="7" t="s">
        <v>19</v>
      </c>
      <c r="E91" s="7" t="s">
        <v>35</v>
      </c>
      <c r="F91" s="7" t="s">
        <v>199</v>
      </c>
      <c r="G91" s="7" t="e">
        <f t="shared" ca="1" si="0"/>
        <v>#NAME?</v>
      </c>
      <c r="H91" s="24" t="s">
        <v>125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242</v>
      </c>
      <c r="N91" s="26">
        <v>2.5000000000000001E-2</v>
      </c>
      <c r="O91" s="7" t="s">
        <v>167</v>
      </c>
      <c r="P91" s="27">
        <v>0.2</v>
      </c>
      <c r="Q91" s="23"/>
      <c r="R91" s="28" t="s">
        <v>458</v>
      </c>
      <c r="S91" s="7" t="s">
        <v>127</v>
      </c>
      <c r="T91" s="7" t="s">
        <v>459</v>
      </c>
      <c r="U91" s="7" t="s">
        <v>202</v>
      </c>
      <c r="V91" s="24" t="e">
        <f t="shared" ca="1" si="2"/>
        <v>#NAME?</v>
      </c>
      <c r="W91" s="7"/>
      <c r="X91" s="7"/>
      <c r="Y91" s="29" t="s">
        <v>129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456</v>
      </c>
      <c r="C92" s="4" t="s">
        <v>460</v>
      </c>
      <c r="D92" s="7" t="s">
        <v>19</v>
      </c>
      <c r="E92" s="7" t="s">
        <v>35</v>
      </c>
      <c r="F92" s="7" t="s">
        <v>199</v>
      </c>
      <c r="G92" s="7" t="e">
        <f t="shared" ca="1" si="0"/>
        <v>#NAME?</v>
      </c>
      <c r="H92" s="24" t="s">
        <v>125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458</v>
      </c>
      <c r="S92" s="7" t="s">
        <v>127</v>
      </c>
      <c r="T92" s="7" t="s">
        <v>459</v>
      </c>
      <c r="U92" s="7" t="s">
        <v>202</v>
      </c>
      <c r="V92" s="24" t="e">
        <f t="shared" ca="1" si="2"/>
        <v>#NAME?</v>
      </c>
      <c r="W92" s="7"/>
      <c r="X92" s="7"/>
      <c r="Y92" s="29" t="s">
        <v>129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456</v>
      </c>
      <c r="C93" s="41" t="s">
        <v>461</v>
      </c>
      <c r="D93" s="7" t="s">
        <v>19</v>
      </c>
      <c r="E93" s="7" t="s">
        <v>35</v>
      </c>
      <c r="F93" s="7" t="s">
        <v>199</v>
      </c>
      <c r="G93" s="7" t="e">
        <f t="shared" ca="1" si="0"/>
        <v>#NAME?</v>
      </c>
      <c r="H93" s="24" t="s">
        <v>125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127</v>
      </c>
      <c r="T93" s="7" t="s">
        <v>459</v>
      </c>
      <c r="U93" s="7" t="s">
        <v>202</v>
      </c>
      <c r="V93" s="24" t="e">
        <f t="shared" ca="1" si="2"/>
        <v>#NAME?</v>
      </c>
      <c r="W93" s="7"/>
      <c r="X93" s="7"/>
      <c r="Y93" s="29" t="s">
        <v>129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462</v>
      </c>
      <c r="C94" s="4" t="s">
        <v>463</v>
      </c>
      <c r="D94" s="7" t="s">
        <v>19</v>
      </c>
      <c r="E94" s="7" t="s">
        <v>20</v>
      </c>
      <c r="F94" s="7" t="s">
        <v>184</v>
      </c>
      <c r="G94" s="7" t="e">
        <f t="shared" ca="1" si="0"/>
        <v>#NAME?</v>
      </c>
      <c r="H94" s="24" t="s">
        <v>134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156</v>
      </c>
      <c r="N94" s="26">
        <v>0</v>
      </c>
      <c r="O94" s="7" t="s">
        <v>25</v>
      </c>
      <c r="P94" s="27">
        <v>0</v>
      </c>
      <c r="Q94" s="28"/>
      <c r="R94" s="28"/>
      <c r="S94" s="7" t="s">
        <v>127</v>
      </c>
      <c r="T94" s="6" t="s">
        <v>464</v>
      </c>
      <c r="U94" s="7" t="s">
        <v>20</v>
      </c>
      <c r="V94" s="24" t="e">
        <f t="shared" ca="1" si="2"/>
        <v>#NAME?</v>
      </c>
      <c r="W94" s="7"/>
      <c r="X94" s="7"/>
      <c r="Y94" s="29" t="s">
        <v>129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465</v>
      </c>
      <c r="C95" s="39" t="s">
        <v>466</v>
      </c>
      <c r="D95" s="7" t="s">
        <v>46</v>
      </c>
      <c r="E95" s="7" t="s">
        <v>20</v>
      </c>
      <c r="F95" s="7" t="s">
        <v>189</v>
      </c>
      <c r="G95" s="7" t="e">
        <f t="shared" ca="1" si="0"/>
        <v>#NAME?</v>
      </c>
      <c r="H95" s="24" t="s">
        <v>145</v>
      </c>
      <c r="I95" s="24" t="s">
        <v>190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191</v>
      </c>
      <c r="R95" s="28"/>
      <c r="S95" s="7" t="s">
        <v>127</v>
      </c>
      <c r="T95" s="12" t="s">
        <v>467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129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468</v>
      </c>
      <c r="C96" s="4" t="s">
        <v>469</v>
      </c>
      <c r="D96" s="7" t="s">
        <v>19</v>
      </c>
      <c r="E96" s="7" t="s">
        <v>35</v>
      </c>
      <c r="F96" s="7" t="s">
        <v>199</v>
      </c>
      <c r="G96" s="7" t="e">
        <f t="shared" ca="1" si="0"/>
        <v>#NAME?</v>
      </c>
      <c r="H96" s="24" t="s">
        <v>134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156</v>
      </c>
      <c r="N96" s="26">
        <v>0</v>
      </c>
      <c r="O96" s="7" t="s">
        <v>25</v>
      </c>
      <c r="P96" s="27">
        <v>0</v>
      </c>
      <c r="Q96" s="28"/>
      <c r="R96" s="28"/>
      <c r="S96" s="7" t="s">
        <v>127</v>
      </c>
      <c r="T96" s="7" t="s">
        <v>470</v>
      </c>
      <c r="U96" s="7" t="s">
        <v>202</v>
      </c>
      <c r="V96" s="24" t="e">
        <f t="shared" ca="1" si="2"/>
        <v>#NAME?</v>
      </c>
      <c r="W96" s="7"/>
      <c r="X96" s="7"/>
      <c r="Y96" s="29" t="s">
        <v>129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471</v>
      </c>
      <c r="C97" s="62" t="s">
        <v>472</v>
      </c>
      <c r="D97" s="7" t="s">
        <v>19</v>
      </c>
      <c r="E97" s="7" t="s">
        <v>35</v>
      </c>
      <c r="F97" s="7" t="s">
        <v>250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473</v>
      </c>
      <c r="S97" s="7" t="s">
        <v>127</v>
      </c>
      <c r="T97" s="7" t="s">
        <v>474</v>
      </c>
      <c r="U97" s="7" t="s">
        <v>202</v>
      </c>
      <c r="V97" s="24" t="e">
        <f t="shared" ca="1" si="2"/>
        <v>#NAME?</v>
      </c>
      <c r="W97" s="7"/>
      <c r="X97" s="7"/>
      <c r="Y97" s="29" t="s">
        <v>129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475</v>
      </c>
      <c r="C98" s="4" t="s">
        <v>476</v>
      </c>
      <c r="D98" s="7" t="s">
        <v>46</v>
      </c>
      <c r="E98" s="7" t="s">
        <v>20</v>
      </c>
      <c r="F98" s="7" t="s">
        <v>477</v>
      </c>
      <c r="G98" s="7" t="e">
        <f t="shared" ca="1" si="0"/>
        <v>#NAME?</v>
      </c>
      <c r="H98" s="24" t="s">
        <v>125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127</v>
      </c>
      <c r="T98" s="7" t="s">
        <v>478</v>
      </c>
      <c r="U98" s="7" t="s">
        <v>20</v>
      </c>
      <c r="V98" s="24" t="e">
        <f t="shared" ca="1" si="2"/>
        <v>#NAME?</v>
      </c>
      <c r="W98" s="7"/>
      <c r="X98" s="7"/>
      <c r="Y98" s="29" t="s">
        <v>129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479</v>
      </c>
      <c r="C99" s="4" t="s">
        <v>480</v>
      </c>
      <c r="D99" s="7" t="s">
        <v>19</v>
      </c>
      <c r="E99" s="7" t="s">
        <v>20</v>
      </c>
      <c r="F99" s="7" t="s">
        <v>360</v>
      </c>
      <c r="G99" s="7" t="e">
        <f t="shared" ca="1" si="0"/>
        <v>#NAME?</v>
      </c>
      <c r="H99" s="24" t="s">
        <v>145</v>
      </c>
      <c r="I99" s="24" t="s">
        <v>229</v>
      </c>
      <c r="J99" s="7" t="str">
        <f t="shared" si="8"/>
        <v>Sim</v>
      </c>
      <c r="K99" s="25">
        <v>44909</v>
      </c>
      <c r="L99" s="7"/>
      <c r="M99" s="7" t="s">
        <v>242</v>
      </c>
      <c r="N99" s="26">
        <v>2.5000000000000001E-2</v>
      </c>
      <c r="O99" s="7" t="s">
        <v>167</v>
      </c>
      <c r="P99" s="27">
        <v>0.2</v>
      </c>
      <c r="Q99" s="28" t="s">
        <v>481</v>
      </c>
      <c r="R99" s="28"/>
      <c r="S99" s="7" t="s">
        <v>127</v>
      </c>
      <c r="T99" s="7" t="s">
        <v>482</v>
      </c>
      <c r="U99" s="7" t="s">
        <v>20</v>
      </c>
      <c r="V99" s="24" t="e">
        <f t="shared" ca="1" si="2"/>
        <v>#NAME?</v>
      </c>
      <c r="W99" s="7"/>
      <c r="X99" s="7"/>
      <c r="Y99" s="29" t="s">
        <v>240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479</v>
      </c>
      <c r="C100" s="4" t="s">
        <v>483</v>
      </c>
      <c r="D100" s="7" t="s">
        <v>19</v>
      </c>
      <c r="E100" s="7" t="s">
        <v>20</v>
      </c>
      <c r="F100" s="7" t="s">
        <v>360</v>
      </c>
      <c r="G100" s="7" t="e">
        <f t="shared" ca="1" si="0"/>
        <v>#NAME?</v>
      </c>
      <c r="H100" s="24" t="s">
        <v>145</v>
      </c>
      <c r="I100" s="24" t="s">
        <v>229</v>
      </c>
      <c r="J100" s="7" t="str">
        <f t="shared" si="8"/>
        <v>Não</v>
      </c>
      <c r="K100" s="25">
        <v>45000</v>
      </c>
      <c r="L100" s="7"/>
      <c r="M100" s="7" t="s">
        <v>484</v>
      </c>
      <c r="N100" s="26">
        <v>0.02</v>
      </c>
      <c r="O100" s="7" t="s">
        <v>167</v>
      </c>
      <c r="P100" s="27">
        <v>0.2</v>
      </c>
      <c r="Q100" s="28"/>
      <c r="R100" s="28"/>
      <c r="S100" s="7" t="s">
        <v>127</v>
      </c>
      <c r="T100" s="7" t="s">
        <v>482</v>
      </c>
      <c r="U100" s="7" t="s">
        <v>20</v>
      </c>
      <c r="V100" s="24" t="e">
        <f t="shared" ca="1" si="2"/>
        <v>#NAME?</v>
      </c>
      <c r="W100" s="7"/>
      <c r="X100" s="7"/>
      <c r="Y100" s="29" t="s">
        <v>240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479</v>
      </c>
      <c r="C101" s="4" t="s">
        <v>485</v>
      </c>
      <c r="D101" s="7" t="s">
        <v>19</v>
      </c>
      <c r="E101" s="7" t="s">
        <v>20</v>
      </c>
      <c r="F101" s="7" t="s">
        <v>360</v>
      </c>
      <c r="G101" s="7" t="e">
        <f t="shared" ca="1" si="0"/>
        <v>#NAME?</v>
      </c>
      <c r="H101" s="24" t="s">
        <v>145</v>
      </c>
      <c r="I101" s="24" t="s">
        <v>229</v>
      </c>
      <c r="J101" s="7" t="str">
        <f t="shared" si="8"/>
        <v>Não</v>
      </c>
      <c r="K101" s="25">
        <v>44914</v>
      </c>
      <c r="L101" s="7"/>
      <c r="M101" s="7" t="s">
        <v>486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127</v>
      </c>
      <c r="T101" s="7" t="s">
        <v>482</v>
      </c>
      <c r="U101" s="7" t="s">
        <v>20</v>
      </c>
      <c r="V101" s="24" t="e">
        <f t="shared" ca="1" si="2"/>
        <v>#NAME?</v>
      </c>
      <c r="W101" s="7"/>
      <c r="X101" s="7"/>
      <c r="Y101" s="29" t="s">
        <v>240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479</v>
      </c>
      <c r="C102" s="4" t="s">
        <v>487</v>
      </c>
      <c r="D102" s="7" t="s">
        <v>19</v>
      </c>
      <c r="E102" s="7" t="s">
        <v>20</v>
      </c>
      <c r="F102" s="7" t="s">
        <v>360</v>
      </c>
      <c r="G102" s="7" t="e">
        <f t="shared" ca="1" si="0"/>
        <v>#NAME?</v>
      </c>
      <c r="H102" s="24" t="s">
        <v>145</v>
      </c>
      <c r="I102" s="24" t="s">
        <v>229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127</v>
      </c>
      <c r="T102" s="7" t="s">
        <v>482</v>
      </c>
      <c r="U102" s="7" t="s">
        <v>20</v>
      </c>
      <c r="V102" s="24" t="e">
        <f t="shared" ca="1" si="2"/>
        <v>#NAME?</v>
      </c>
      <c r="W102" s="7"/>
      <c r="X102" s="7"/>
      <c r="Y102" s="29" t="s">
        <v>240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479</v>
      </c>
      <c r="C103" s="4" t="s">
        <v>488</v>
      </c>
      <c r="D103" s="7" t="s">
        <v>19</v>
      </c>
      <c r="E103" s="7" t="s">
        <v>20</v>
      </c>
      <c r="F103" s="7" t="s">
        <v>360</v>
      </c>
      <c r="G103" s="7" t="e">
        <f t="shared" ca="1" si="0"/>
        <v>#NAME?</v>
      </c>
      <c r="H103" s="24" t="s">
        <v>145</v>
      </c>
      <c r="I103" s="24" t="s">
        <v>229</v>
      </c>
      <c r="J103" s="7" t="str">
        <f t="shared" si="8"/>
        <v>Não</v>
      </c>
      <c r="K103" s="25">
        <v>45166</v>
      </c>
      <c r="L103" s="25"/>
      <c r="M103" s="7" t="s">
        <v>245</v>
      </c>
      <c r="N103" s="26">
        <v>8.0000000000000002E-3</v>
      </c>
      <c r="O103" s="7" t="s">
        <v>246</v>
      </c>
      <c r="P103" s="27">
        <v>0.1</v>
      </c>
      <c r="Q103" s="45"/>
      <c r="R103" s="28" t="s">
        <v>489</v>
      </c>
      <c r="S103" s="7" t="s">
        <v>127</v>
      </c>
      <c r="T103" s="7" t="s">
        <v>482</v>
      </c>
      <c r="U103" s="7" t="s">
        <v>20</v>
      </c>
      <c r="V103" s="24" t="e">
        <f t="shared" ca="1" si="2"/>
        <v>#NAME?</v>
      </c>
      <c r="W103" s="7"/>
      <c r="X103" s="7"/>
      <c r="Y103" s="29" t="s">
        <v>240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490</v>
      </c>
      <c r="C104" s="44" t="s">
        <v>491</v>
      </c>
      <c r="D104" s="7" t="s">
        <v>19</v>
      </c>
      <c r="E104" s="7" t="s">
        <v>20</v>
      </c>
      <c r="F104" s="7" t="s">
        <v>360</v>
      </c>
      <c r="G104" s="7" t="e">
        <f t="shared" ca="1" si="0"/>
        <v>#NAME?</v>
      </c>
      <c r="H104" s="24" t="s">
        <v>134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492</v>
      </c>
      <c r="R104" s="28" t="s">
        <v>493</v>
      </c>
      <c r="S104" s="7" t="s">
        <v>127</v>
      </c>
      <c r="T104" s="12" t="s">
        <v>494</v>
      </c>
      <c r="U104" s="7" t="s">
        <v>41</v>
      </c>
      <c r="V104" s="24" t="e">
        <f t="shared" ca="1" si="2"/>
        <v>#NAME?</v>
      </c>
      <c r="W104" s="7"/>
      <c r="X104" s="7"/>
      <c r="Y104" s="29" t="s">
        <v>129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495</v>
      </c>
      <c r="C105" s="72" t="s">
        <v>496</v>
      </c>
      <c r="D105" s="7" t="s">
        <v>19</v>
      </c>
      <c r="E105" s="7" t="s">
        <v>20</v>
      </c>
      <c r="F105" s="7" t="s">
        <v>497</v>
      </c>
      <c r="G105" s="7" t="e">
        <f t="shared" ca="1" si="0"/>
        <v>#NAME?</v>
      </c>
      <c r="H105" s="24" t="s">
        <v>145</v>
      </c>
      <c r="I105" s="24" t="s">
        <v>190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127</v>
      </c>
      <c r="T105" s="12" t="s">
        <v>498</v>
      </c>
      <c r="U105" s="7" t="s">
        <v>20</v>
      </c>
      <c r="V105" s="24" t="e">
        <f t="shared" ca="1" si="2"/>
        <v>#NAME?</v>
      </c>
      <c r="W105" s="7"/>
      <c r="X105" s="7" t="s">
        <v>152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499</v>
      </c>
      <c r="C106" s="39" t="s">
        <v>500</v>
      </c>
      <c r="D106" s="7" t="s">
        <v>19</v>
      </c>
      <c r="E106" s="7" t="s">
        <v>20</v>
      </c>
      <c r="F106" s="7" t="s">
        <v>184</v>
      </c>
      <c r="G106" s="7" t="e">
        <f t="shared" ca="1" si="0"/>
        <v>#NAME?</v>
      </c>
      <c r="H106" s="24" t="s">
        <v>134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185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127</v>
      </c>
      <c r="T106" s="6" t="s">
        <v>501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129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502</v>
      </c>
      <c r="C107" s="4" t="s">
        <v>503</v>
      </c>
      <c r="D107" s="7" t="s">
        <v>19</v>
      </c>
      <c r="E107" s="7" t="s">
        <v>66</v>
      </c>
      <c r="F107" s="7" t="s">
        <v>144</v>
      </c>
      <c r="G107" s="7" t="e">
        <f t="shared" ca="1" si="0"/>
        <v>#NAME?</v>
      </c>
      <c r="H107" s="24" t="s">
        <v>134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185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171</v>
      </c>
      <c r="T107" s="7" t="s">
        <v>504</v>
      </c>
      <c r="U107" s="7" t="s">
        <v>66</v>
      </c>
      <c r="V107" s="24" t="e">
        <f t="shared" ca="1" si="2"/>
        <v>#NAME?</v>
      </c>
      <c r="W107" s="7"/>
      <c r="X107" s="7"/>
      <c r="Y107" s="29" t="s">
        <v>240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505</v>
      </c>
      <c r="C108" s="4" t="s">
        <v>506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145</v>
      </c>
      <c r="I108" s="24" t="s">
        <v>190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171</v>
      </c>
      <c r="T108" s="7" t="s">
        <v>507</v>
      </c>
      <c r="U108" s="7" t="s">
        <v>20</v>
      </c>
      <c r="V108" s="24" t="e">
        <f t="shared" ca="1" si="2"/>
        <v>#NAME?</v>
      </c>
      <c r="W108" s="7"/>
      <c r="X108" s="7"/>
      <c r="Y108" s="29" t="s">
        <v>421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508</v>
      </c>
      <c r="C109" s="4" t="s">
        <v>509</v>
      </c>
      <c r="D109" s="7" t="s">
        <v>55</v>
      </c>
      <c r="E109" s="7" t="s">
        <v>20</v>
      </c>
      <c r="F109" s="7" t="s">
        <v>325</v>
      </c>
      <c r="G109" s="7" t="e">
        <f t="shared" ca="1" si="0"/>
        <v>#NAME?</v>
      </c>
      <c r="H109" s="24" t="s">
        <v>134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333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171</v>
      </c>
      <c r="T109" s="7" t="s">
        <v>510</v>
      </c>
      <c r="U109" s="7" t="s">
        <v>20</v>
      </c>
      <c r="V109" s="24" t="e">
        <f t="shared" ca="1" si="2"/>
        <v>#NAME?</v>
      </c>
      <c r="W109" s="7"/>
      <c r="X109" s="7"/>
      <c r="Y109" s="29" t="s">
        <v>129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511</v>
      </c>
      <c r="C110" s="4" t="s">
        <v>512</v>
      </c>
      <c r="D110" s="7" t="s">
        <v>19</v>
      </c>
      <c r="E110" s="7" t="s">
        <v>66</v>
      </c>
      <c r="F110" s="7" t="s">
        <v>144</v>
      </c>
      <c r="G110" s="7" t="e">
        <f t="shared" ca="1" si="0"/>
        <v>#NAME?</v>
      </c>
      <c r="H110" s="24" t="s">
        <v>134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171</v>
      </c>
      <c r="T110" s="7" t="s">
        <v>513</v>
      </c>
      <c r="U110" s="7" t="s">
        <v>66</v>
      </c>
      <c r="V110" s="24" t="e">
        <f t="shared" ca="1" si="2"/>
        <v>#NAME?</v>
      </c>
      <c r="W110" s="7"/>
      <c r="X110" s="7"/>
      <c r="Y110" s="29" t="s">
        <v>129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514</v>
      </c>
      <c r="C111" s="44" t="s">
        <v>515</v>
      </c>
      <c r="D111" s="7" t="s">
        <v>19</v>
      </c>
      <c r="E111" s="7" t="s">
        <v>20</v>
      </c>
      <c r="F111" s="7" t="s">
        <v>497</v>
      </c>
      <c r="G111" s="7" t="e">
        <f t="shared" ca="1" si="0"/>
        <v>#NAME?</v>
      </c>
      <c r="H111" s="24" t="s">
        <v>145</v>
      </c>
      <c r="I111" s="24" t="s">
        <v>190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127</v>
      </c>
      <c r="T111" s="12" t="s">
        <v>516</v>
      </c>
      <c r="U111" s="7" t="s">
        <v>20</v>
      </c>
      <c r="V111" s="24" t="e">
        <f t="shared" ca="1" si="2"/>
        <v>#NAME?</v>
      </c>
      <c r="W111" s="7"/>
      <c r="X111" s="7"/>
      <c r="Y111" s="29" t="s">
        <v>129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517</v>
      </c>
      <c r="C112" s="4" t="s">
        <v>518</v>
      </c>
      <c r="D112" s="7" t="s">
        <v>19</v>
      </c>
      <c r="E112" s="7" t="s">
        <v>66</v>
      </c>
      <c r="F112" s="7" t="s">
        <v>144</v>
      </c>
      <c r="G112" s="7" t="e">
        <f t="shared" ca="1" si="0"/>
        <v>#NAME?</v>
      </c>
      <c r="H112" s="24" t="s">
        <v>145</v>
      </c>
      <c r="I112" s="24" t="s">
        <v>146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127</v>
      </c>
      <c r="T112" s="7" t="s">
        <v>519</v>
      </c>
      <c r="U112" s="7" t="s">
        <v>66</v>
      </c>
      <c r="V112" s="24" t="e">
        <f t="shared" ca="1" si="2"/>
        <v>#NAME?</v>
      </c>
      <c r="W112" s="7"/>
      <c r="X112" s="7"/>
      <c r="Y112" s="29" t="s">
        <v>129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520</v>
      </c>
      <c r="C113" s="4" t="s">
        <v>521</v>
      </c>
      <c r="D113" s="7" t="s">
        <v>19</v>
      </c>
      <c r="E113" s="7" t="s">
        <v>35</v>
      </c>
      <c r="F113" s="7" t="s">
        <v>199</v>
      </c>
      <c r="G113" s="7" t="e">
        <f t="shared" ca="1" si="0"/>
        <v>#NAME?</v>
      </c>
      <c r="H113" s="24" t="s">
        <v>134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127</v>
      </c>
      <c r="T113" s="7" t="s">
        <v>522</v>
      </c>
      <c r="U113" s="7" t="s">
        <v>523</v>
      </c>
      <c r="V113" s="24" t="e">
        <f t="shared" ca="1" si="2"/>
        <v>#NAME?</v>
      </c>
      <c r="W113" s="7"/>
      <c r="X113" s="7"/>
      <c r="Y113" s="29" t="s">
        <v>129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524</v>
      </c>
      <c r="C114" s="4" t="s">
        <v>525</v>
      </c>
      <c r="D114" s="7" t="s">
        <v>19</v>
      </c>
      <c r="E114" s="7" t="s">
        <v>20</v>
      </c>
      <c r="F114" s="7" t="s">
        <v>155</v>
      </c>
      <c r="G114" s="7" t="e">
        <f t="shared" ca="1" si="0"/>
        <v>#NAME?</v>
      </c>
      <c r="H114" s="24" t="s">
        <v>145</v>
      </c>
      <c r="I114" s="24" t="s">
        <v>190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127</v>
      </c>
      <c r="T114" s="7" t="s">
        <v>526</v>
      </c>
      <c r="U114" s="7" t="s">
        <v>20</v>
      </c>
      <c r="V114" s="24" t="e">
        <f t="shared" ca="1" si="2"/>
        <v>#NAME?</v>
      </c>
      <c r="W114" s="7"/>
      <c r="X114" s="7"/>
      <c r="Y114" s="29" t="s">
        <v>129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527</v>
      </c>
      <c r="C115" s="44" t="s">
        <v>528</v>
      </c>
      <c r="D115" s="7" t="s">
        <v>19</v>
      </c>
      <c r="E115" s="7" t="s">
        <v>35</v>
      </c>
      <c r="F115" s="9" t="s">
        <v>199</v>
      </c>
      <c r="G115" s="7" t="e">
        <f t="shared" ca="1" si="0"/>
        <v>#NAME?</v>
      </c>
      <c r="H115" s="24" t="s">
        <v>134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333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127</v>
      </c>
      <c r="T115" s="7" t="s">
        <v>529</v>
      </c>
      <c r="U115" s="7" t="s">
        <v>202</v>
      </c>
      <c r="V115" s="24" t="e">
        <f t="shared" ca="1" si="2"/>
        <v>#NAME?</v>
      </c>
      <c r="W115" s="7"/>
      <c r="X115" s="7"/>
      <c r="Y115" s="29" t="s">
        <v>129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530</v>
      </c>
      <c r="C116" s="4" t="s">
        <v>531</v>
      </c>
      <c r="D116" s="7" t="s">
        <v>19</v>
      </c>
      <c r="E116" s="7" t="s">
        <v>35</v>
      </c>
      <c r="F116" s="7" t="s">
        <v>250</v>
      </c>
      <c r="G116" s="7" t="e">
        <f t="shared" ca="1" si="0"/>
        <v>#NAME?</v>
      </c>
      <c r="H116" s="24" t="s">
        <v>134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185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127</v>
      </c>
      <c r="T116" s="7" t="s">
        <v>532</v>
      </c>
      <c r="U116" s="7" t="s">
        <v>202</v>
      </c>
      <c r="V116" s="24" t="e">
        <f t="shared" ca="1" si="2"/>
        <v>#NAME?</v>
      </c>
      <c r="W116" s="7"/>
      <c r="X116" s="7"/>
      <c r="Y116" s="29" t="s">
        <v>129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533</v>
      </c>
      <c r="C117" s="4" t="s">
        <v>534</v>
      </c>
      <c r="D117" s="7" t="s">
        <v>71</v>
      </c>
      <c r="E117" s="7" t="s">
        <v>66</v>
      </c>
      <c r="F117" s="7" t="s">
        <v>72</v>
      </c>
      <c r="G117" s="7" t="e">
        <f t="shared" ca="1" si="0"/>
        <v>#NAME?</v>
      </c>
      <c r="H117" s="24" t="s">
        <v>134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127</v>
      </c>
      <c r="T117" s="7" t="s">
        <v>535</v>
      </c>
      <c r="U117" s="7" t="s">
        <v>66</v>
      </c>
      <c r="V117" s="24" t="e">
        <f t="shared" ca="1" si="2"/>
        <v>#NAME?</v>
      </c>
      <c r="W117" s="7"/>
      <c r="X117" s="7" t="s">
        <v>42</v>
      </c>
      <c r="Y117" s="29" t="s">
        <v>129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536</v>
      </c>
      <c r="C118" s="4" t="s">
        <v>537</v>
      </c>
      <c r="D118" s="7" t="s">
        <v>19</v>
      </c>
      <c r="E118" s="7" t="s">
        <v>35</v>
      </c>
      <c r="F118" s="7" t="s">
        <v>199</v>
      </c>
      <c r="G118" s="7" t="e">
        <f t="shared" ca="1" si="0"/>
        <v>#NAME?</v>
      </c>
      <c r="H118" s="24" t="s">
        <v>134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185</v>
      </c>
      <c r="N118" s="26">
        <v>1.4999999999999999E-2</v>
      </c>
      <c r="O118" s="7" t="s">
        <v>39</v>
      </c>
      <c r="P118" s="27">
        <v>0.1</v>
      </c>
      <c r="Q118" s="28"/>
      <c r="R118" s="28" t="s">
        <v>538</v>
      </c>
      <c r="S118" s="7" t="s">
        <v>127</v>
      </c>
      <c r="T118" s="7" t="s">
        <v>539</v>
      </c>
      <c r="U118" s="7" t="s">
        <v>202</v>
      </c>
      <c r="V118" s="24" t="e">
        <f t="shared" ca="1" si="2"/>
        <v>#NAME?</v>
      </c>
      <c r="W118" s="7"/>
      <c r="X118" s="7"/>
      <c r="Y118" s="29" t="s">
        <v>129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536</v>
      </c>
      <c r="C119" s="44" t="s">
        <v>540</v>
      </c>
      <c r="D119" s="7" t="s">
        <v>19</v>
      </c>
      <c r="E119" s="7" t="s">
        <v>35</v>
      </c>
      <c r="F119" s="7" t="s">
        <v>199</v>
      </c>
      <c r="G119" s="7" t="e">
        <f t="shared" ca="1" si="0"/>
        <v>#NAME?</v>
      </c>
      <c r="H119" s="24" t="s">
        <v>134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242</v>
      </c>
      <c r="N119" s="26">
        <v>2.5000000000000001E-2</v>
      </c>
      <c r="O119" s="7" t="s">
        <v>167</v>
      </c>
      <c r="P119" s="27">
        <v>0.2</v>
      </c>
      <c r="Q119" s="28"/>
      <c r="R119" s="28" t="s">
        <v>541</v>
      </c>
      <c r="S119" s="7" t="s">
        <v>127</v>
      </c>
      <c r="T119" s="7" t="s">
        <v>539</v>
      </c>
      <c r="U119" s="7" t="s">
        <v>202</v>
      </c>
      <c r="V119" s="24" t="e">
        <f t="shared" ca="1" si="2"/>
        <v>#NAME?</v>
      </c>
      <c r="W119" s="7"/>
      <c r="X119" s="7"/>
      <c r="Y119" s="29" t="s">
        <v>129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542</v>
      </c>
      <c r="C120" s="4" t="s">
        <v>543</v>
      </c>
      <c r="D120" s="7" t="s">
        <v>19</v>
      </c>
      <c r="E120" s="7" t="s">
        <v>35</v>
      </c>
      <c r="F120" s="7" t="s">
        <v>199</v>
      </c>
      <c r="G120" s="7" t="e">
        <f t="shared" ca="1" si="0"/>
        <v>#NAME?</v>
      </c>
      <c r="H120" s="24" t="s">
        <v>134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242</v>
      </c>
      <c r="N120" s="26">
        <v>2.5000000000000001E-2</v>
      </c>
      <c r="O120" s="7" t="s">
        <v>167</v>
      </c>
      <c r="P120" s="27">
        <v>0.2</v>
      </c>
      <c r="Q120" s="28"/>
      <c r="R120" s="28"/>
      <c r="S120" s="7" t="s">
        <v>127</v>
      </c>
      <c r="T120" s="7" t="s">
        <v>544</v>
      </c>
      <c r="U120" s="7" t="s">
        <v>202</v>
      </c>
      <c r="V120" s="24" t="e">
        <f t="shared" ca="1" si="2"/>
        <v>#NAME?</v>
      </c>
      <c r="W120" s="7"/>
      <c r="X120" s="7"/>
      <c r="Y120" s="29" t="s">
        <v>129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542</v>
      </c>
      <c r="C121" s="4" t="s">
        <v>545</v>
      </c>
      <c r="D121" s="7" t="s">
        <v>19</v>
      </c>
      <c r="E121" s="7" t="s">
        <v>35</v>
      </c>
      <c r="F121" s="7" t="s">
        <v>199</v>
      </c>
      <c r="G121" s="7" t="e">
        <f t="shared" ca="1" si="0"/>
        <v>#NAME?</v>
      </c>
      <c r="H121" s="24" t="s">
        <v>134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127</v>
      </c>
      <c r="T121" s="7" t="s">
        <v>544</v>
      </c>
      <c r="U121" s="7" t="s">
        <v>202</v>
      </c>
      <c r="V121" s="24" t="e">
        <f t="shared" ca="1" si="2"/>
        <v>#NAME?</v>
      </c>
      <c r="W121" s="7"/>
      <c r="X121" s="7"/>
      <c r="Y121" s="29" t="s">
        <v>129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546</v>
      </c>
      <c r="C122" s="4" t="s">
        <v>547</v>
      </c>
      <c r="D122" s="7" t="s">
        <v>19</v>
      </c>
      <c r="E122" s="7" t="s">
        <v>35</v>
      </c>
      <c r="F122" s="7" t="s">
        <v>250</v>
      </c>
      <c r="G122" s="7" t="e">
        <f t="shared" ca="1" si="0"/>
        <v>#NAME?</v>
      </c>
      <c r="H122" s="24" t="s">
        <v>134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127</v>
      </c>
      <c r="T122" s="7" t="s">
        <v>548</v>
      </c>
      <c r="U122" s="7" t="s">
        <v>202</v>
      </c>
      <c r="V122" s="24" t="e">
        <f t="shared" ca="1" si="2"/>
        <v>#NAME?</v>
      </c>
      <c r="W122" s="7"/>
      <c r="X122" s="7"/>
      <c r="Y122" s="29" t="s">
        <v>129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549</v>
      </c>
      <c r="C123" s="4" t="s">
        <v>550</v>
      </c>
      <c r="D123" s="7" t="s">
        <v>19</v>
      </c>
      <c r="E123" s="7" t="s">
        <v>35</v>
      </c>
      <c r="F123" s="7" t="s">
        <v>250</v>
      </c>
      <c r="G123" s="7" t="e">
        <f t="shared" ca="1" si="0"/>
        <v>#NAME?</v>
      </c>
      <c r="H123" s="24" t="s">
        <v>145</v>
      </c>
      <c r="I123" s="24" t="s">
        <v>229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551</v>
      </c>
      <c r="S123" s="7" t="s">
        <v>127</v>
      </c>
      <c r="T123" s="7" t="s">
        <v>552</v>
      </c>
      <c r="U123" s="7" t="s">
        <v>202</v>
      </c>
      <c r="V123" s="24" t="e">
        <f t="shared" ca="1" si="2"/>
        <v>#NAME?</v>
      </c>
      <c r="W123" s="7"/>
      <c r="X123" s="7"/>
      <c r="Y123" s="29" t="s">
        <v>129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553</v>
      </c>
      <c r="C124" s="41" t="s">
        <v>554</v>
      </c>
      <c r="D124" s="7" t="s">
        <v>19</v>
      </c>
      <c r="E124" s="7" t="s">
        <v>20</v>
      </c>
      <c r="F124" s="7" t="s">
        <v>360</v>
      </c>
      <c r="G124" s="7" t="e">
        <f t="shared" ca="1" si="0"/>
        <v>#NAME?</v>
      </c>
      <c r="H124" s="24" t="s">
        <v>134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127</v>
      </c>
      <c r="T124" s="7" t="s">
        <v>555</v>
      </c>
      <c r="U124" s="7" t="s">
        <v>20</v>
      </c>
      <c r="V124" s="24" t="e">
        <f t="shared" ca="1" si="2"/>
        <v>#NAME?</v>
      </c>
      <c r="W124" s="7"/>
      <c r="X124" s="7"/>
      <c r="Y124" s="29" t="s">
        <v>129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556</v>
      </c>
      <c r="C125" s="4" t="s">
        <v>557</v>
      </c>
      <c r="D125" s="7" t="s">
        <v>19</v>
      </c>
      <c r="E125" s="7" t="s">
        <v>20</v>
      </c>
      <c r="F125" s="7" t="s">
        <v>184</v>
      </c>
      <c r="G125" s="7" t="e">
        <f t="shared" ca="1" si="0"/>
        <v>#NAME?</v>
      </c>
      <c r="H125" s="24" t="s">
        <v>145</v>
      </c>
      <c r="I125" s="24" t="s">
        <v>146</v>
      </c>
      <c r="J125" s="7" t="str">
        <f t="shared" si="8"/>
        <v>Não</v>
      </c>
      <c r="K125" s="25">
        <v>45264</v>
      </c>
      <c r="L125" s="7"/>
      <c r="M125" s="7" t="s">
        <v>345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127</v>
      </c>
      <c r="T125" s="7" t="s">
        <v>558</v>
      </c>
      <c r="U125" s="7" t="s">
        <v>20</v>
      </c>
      <c r="V125" s="24" t="e">
        <f t="shared" ca="1" si="2"/>
        <v>#NAME?</v>
      </c>
      <c r="W125" s="7"/>
      <c r="X125" s="7"/>
      <c r="Y125" s="29" t="s">
        <v>129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559</v>
      </c>
      <c r="C126" s="4" t="s">
        <v>560</v>
      </c>
      <c r="D126" s="7" t="s">
        <v>71</v>
      </c>
      <c r="E126" s="7" t="s">
        <v>66</v>
      </c>
      <c r="F126" s="7" t="s">
        <v>72</v>
      </c>
      <c r="G126" s="7" t="e">
        <f t="shared" ca="1" si="0"/>
        <v>#NAME?</v>
      </c>
      <c r="H126" s="24" t="s">
        <v>134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127</v>
      </c>
      <c r="T126" s="7" t="s">
        <v>561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129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562</v>
      </c>
      <c r="C127" s="4" t="s">
        <v>563</v>
      </c>
      <c r="D127" s="7" t="s">
        <v>19</v>
      </c>
      <c r="E127" s="7" t="s">
        <v>20</v>
      </c>
      <c r="F127" s="7" t="s">
        <v>360</v>
      </c>
      <c r="G127" s="7" t="e">
        <f t="shared" ca="1" si="0"/>
        <v>#NAME?</v>
      </c>
      <c r="H127" s="24" t="s">
        <v>145</v>
      </c>
      <c r="I127" s="24" t="s">
        <v>229</v>
      </c>
      <c r="J127" s="7" t="str">
        <f t="shared" si="8"/>
        <v>Sim</v>
      </c>
      <c r="K127" s="25">
        <v>45470</v>
      </c>
      <c r="L127" s="7"/>
      <c r="M127" s="7" t="s">
        <v>454</v>
      </c>
      <c r="N127" s="26">
        <v>7.0000000000000001E-3</v>
      </c>
      <c r="O127" s="7" t="s">
        <v>25</v>
      </c>
      <c r="P127" s="27">
        <v>0</v>
      </c>
      <c r="Q127" s="13" t="s">
        <v>564</v>
      </c>
      <c r="R127" s="28"/>
      <c r="S127" s="7" t="s">
        <v>127</v>
      </c>
      <c r="T127" s="7" t="s">
        <v>565</v>
      </c>
      <c r="U127" s="7" t="s">
        <v>20</v>
      </c>
      <c r="V127" s="24" t="e">
        <f t="shared" ca="1" si="2"/>
        <v>#NAME?</v>
      </c>
      <c r="W127" s="7"/>
      <c r="X127" s="7" t="s">
        <v>137</v>
      </c>
      <c r="Y127" s="29" t="s">
        <v>129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566</v>
      </c>
      <c r="C128" s="4" t="s">
        <v>567</v>
      </c>
      <c r="D128" s="7" t="s">
        <v>19</v>
      </c>
      <c r="E128" s="7" t="s">
        <v>20</v>
      </c>
      <c r="F128" s="7" t="s">
        <v>360</v>
      </c>
      <c r="G128" s="7" t="e">
        <f t="shared" ca="1" si="0"/>
        <v>#NAME?</v>
      </c>
      <c r="H128" s="24" t="s">
        <v>145</v>
      </c>
      <c r="I128" s="24" t="s">
        <v>146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127</v>
      </c>
      <c r="T128" s="7" t="s">
        <v>568</v>
      </c>
      <c r="U128" s="7" t="s">
        <v>20</v>
      </c>
      <c r="V128" s="24" t="e">
        <f t="shared" ca="1" si="2"/>
        <v>#NAME?</v>
      </c>
      <c r="W128" s="7"/>
      <c r="X128" s="7"/>
      <c r="Y128" s="29" t="s">
        <v>129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569</v>
      </c>
      <c r="C129" s="4" t="s">
        <v>570</v>
      </c>
      <c r="D129" s="7" t="s">
        <v>19</v>
      </c>
      <c r="E129" s="7" t="s">
        <v>66</v>
      </c>
      <c r="F129" s="7" t="s">
        <v>144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127</v>
      </c>
      <c r="T129" s="7" t="s">
        <v>571</v>
      </c>
      <c r="U129" s="7" t="s">
        <v>66</v>
      </c>
      <c r="V129" s="24" t="e">
        <f t="shared" ca="1" si="2"/>
        <v>#NAME?</v>
      </c>
      <c r="W129" s="7"/>
      <c r="X129" s="7"/>
      <c r="Y129" s="29" t="s">
        <v>240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572</v>
      </c>
      <c r="C130" s="4" t="s">
        <v>573</v>
      </c>
      <c r="D130" s="7" t="s">
        <v>46</v>
      </c>
      <c r="E130" s="7" t="s">
        <v>20</v>
      </c>
      <c r="F130" s="7" t="s">
        <v>124</v>
      </c>
      <c r="G130" s="7" t="e">
        <f t="shared" ca="1" si="0"/>
        <v>#NAME?</v>
      </c>
      <c r="H130" s="24" t="s">
        <v>125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345</v>
      </c>
      <c r="N130" s="26">
        <v>7.0000000000000001E-3</v>
      </c>
      <c r="O130" s="7" t="s">
        <v>25</v>
      </c>
      <c r="P130" s="27">
        <v>0</v>
      </c>
      <c r="Q130" s="28"/>
      <c r="R130" s="28" t="s">
        <v>273</v>
      </c>
      <c r="S130" s="7" t="s">
        <v>127</v>
      </c>
      <c r="T130" s="7" t="s">
        <v>574</v>
      </c>
      <c r="U130" s="7" t="s">
        <v>575</v>
      </c>
      <c r="V130" s="24" t="e">
        <f t="shared" ca="1" si="2"/>
        <v>#NAME?</v>
      </c>
      <c r="W130" s="7"/>
      <c r="X130" s="7"/>
      <c r="Y130" s="29" t="s">
        <v>129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576</v>
      </c>
      <c r="C131" s="39" t="s">
        <v>577</v>
      </c>
      <c r="D131" s="7" t="s">
        <v>19</v>
      </c>
      <c r="E131" s="7" t="s">
        <v>20</v>
      </c>
      <c r="F131" s="7" t="s">
        <v>189</v>
      </c>
      <c r="G131" s="7" t="e">
        <f t="shared" ca="1" si="0"/>
        <v>#NAME?</v>
      </c>
      <c r="H131" s="24" t="s">
        <v>125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127</v>
      </c>
      <c r="T131" s="12" t="s">
        <v>578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129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579</v>
      </c>
      <c r="C132" s="4" t="s">
        <v>580</v>
      </c>
      <c r="D132" s="7" t="s">
        <v>19</v>
      </c>
      <c r="E132" s="7" t="s">
        <v>66</v>
      </c>
      <c r="F132" s="7" t="s">
        <v>316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127</v>
      </c>
      <c r="T132" s="7" t="s">
        <v>581</v>
      </c>
      <c r="U132" s="7" t="s">
        <v>66</v>
      </c>
      <c r="V132" s="24" t="e">
        <f t="shared" ca="1" si="2"/>
        <v>#NAME?</v>
      </c>
      <c r="W132" s="7"/>
      <c r="X132" s="7"/>
      <c r="Y132" s="29" t="s">
        <v>240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582</v>
      </c>
      <c r="C133" s="4" t="s">
        <v>583</v>
      </c>
      <c r="D133" s="7" t="s">
        <v>46</v>
      </c>
      <c r="E133" s="7" t="s">
        <v>20</v>
      </c>
      <c r="F133" s="7" t="s">
        <v>124</v>
      </c>
      <c r="G133" s="7" t="e">
        <f t="shared" ca="1" si="0"/>
        <v>#NAME?</v>
      </c>
      <c r="H133" s="24" t="s">
        <v>125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273</v>
      </c>
      <c r="S133" s="7" t="s">
        <v>127</v>
      </c>
      <c r="T133" s="7" t="s">
        <v>584</v>
      </c>
      <c r="U133" s="7" t="s">
        <v>575</v>
      </c>
      <c r="V133" s="24" t="e">
        <f t="shared" ca="1" si="2"/>
        <v>#NAME?</v>
      </c>
      <c r="W133" s="7"/>
      <c r="X133" s="7"/>
      <c r="Y133" s="29" t="s">
        <v>240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585</v>
      </c>
      <c r="C134" s="4" t="s">
        <v>586</v>
      </c>
      <c r="D134" s="7" t="s">
        <v>46</v>
      </c>
      <c r="E134" s="7" t="s">
        <v>20</v>
      </c>
      <c r="F134" s="7" t="s">
        <v>124</v>
      </c>
      <c r="G134" s="7" t="e">
        <f t="shared" ca="1" si="0"/>
        <v>#NAME?</v>
      </c>
      <c r="H134" s="24" t="s">
        <v>125</v>
      </c>
      <c r="I134" s="24" t="s">
        <v>25</v>
      </c>
      <c r="J134" s="7" t="s">
        <v>165</v>
      </c>
      <c r="K134" s="25">
        <v>45464</v>
      </c>
      <c r="L134" s="25">
        <v>45506</v>
      </c>
      <c r="M134" s="7" t="s">
        <v>587</v>
      </c>
      <c r="N134" s="26">
        <v>0</v>
      </c>
      <c r="O134" s="7" t="s">
        <v>25</v>
      </c>
      <c r="P134" s="27">
        <v>0</v>
      </c>
      <c r="Q134" s="28"/>
      <c r="R134" s="28" t="s">
        <v>273</v>
      </c>
      <c r="S134" s="7" t="s">
        <v>127</v>
      </c>
      <c r="T134" s="7" t="s">
        <v>584</v>
      </c>
      <c r="U134" s="7" t="s">
        <v>575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588</v>
      </c>
      <c r="C135" s="4" t="s">
        <v>589</v>
      </c>
      <c r="D135" s="7" t="s">
        <v>71</v>
      </c>
      <c r="E135" s="7" t="s">
        <v>66</v>
      </c>
      <c r="F135" s="7" t="s">
        <v>72</v>
      </c>
      <c r="G135" s="7" t="e">
        <f t="shared" ca="1" si="0"/>
        <v>#NAME?</v>
      </c>
      <c r="H135" s="24" t="s">
        <v>134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127</v>
      </c>
      <c r="T135" s="7" t="s">
        <v>590</v>
      </c>
      <c r="U135" s="7" t="s">
        <v>66</v>
      </c>
      <c r="V135" s="24" t="e">
        <f t="shared" ca="1" si="2"/>
        <v>#NAME?</v>
      </c>
      <c r="W135" s="7"/>
      <c r="X135" s="7" t="s">
        <v>42</v>
      </c>
      <c r="Y135" s="29" t="s">
        <v>129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591</v>
      </c>
      <c r="C136" s="4" t="s">
        <v>592</v>
      </c>
      <c r="D136" s="7" t="s">
        <v>46</v>
      </c>
      <c r="E136" s="7" t="s">
        <v>20</v>
      </c>
      <c r="F136" s="7" t="s">
        <v>124</v>
      </c>
      <c r="G136" s="7" t="e">
        <f t="shared" ca="1" si="0"/>
        <v>#NAME?</v>
      </c>
      <c r="H136" s="24" t="s">
        <v>145</v>
      </c>
      <c r="I136" s="24" t="s">
        <v>146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127</v>
      </c>
      <c r="T136" s="7" t="s">
        <v>593</v>
      </c>
      <c r="U136" s="7" t="s">
        <v>41</v>
      </c>
      <c r="V136" s="24" t="e">
        <f t="shared" ca="1" si="2"/>
        <v>#NAME?</v>
      </c>
      <c r="W136" s="7"/>
      <c r="X136" s="7"/>
      <c r="Y136" s="29" t="s">
        <v>129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594</v>
      </c>
      <c r="C137" s="4" t="s">
        <v>595</v>
      </c>
      <c r="D137" s="7" t="s">
        <v>19</v>
      </c>
      <c r="E137" s="7" t="s">
        <v>35</v>
      </c>
      <c r="F137" s="7" t="s">
        <v>250</v>
      </c>
      <c r="G137" s="7" t="e">
        <f t="shared" ca="1" si="0"/>
        <v>#NAME?</v>
      </c>
      <c r="H137" s="24" t="s">
        <v>134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596</v>
      </c>
      <c r="R137" s="28"/>
      <c r="S137" s="7" t="s">
        <v>127</v>
      </c>
      <c r="T137" s="7" t="s">
        <v>597</v>
      </c>
      <c r="U137" s="7" t="s">
        <v>202</v>
      </c>
      <c r="V137" s="24" t="e">
        <f t="shared" ca="1" si="2"/>
        <v>#NAME?</v>
      </c>
      <c r="W137" s="7"/>
      <c r="X137" s="7"/>
      <c r="Y137" s="29" t="s">
        <v>129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598</v>
      </c>
      <c r="C138" s="4" t="s">
        <v>599</v>
      </c>
      <c r="D138" s="7" t="s">
        <v>71</v>
      </c>
      <c r="E138" s="7" t="s">
        <v>66</v>
      </c>
      <c r="F138" s="7" t="s">
        <v>72</v>
      </c>
      <c r="G138" s="7" t="e">
        <f t="shared" ca="1" si="0"/>
        <v>#NAME?</v>
      </c>
      <c r="H138" s="24" t="s">
        <v>134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127</v>
      </c>
      <c r="T138" s="7" t="s">
        <v>600</v>
      </c>
      <c r="U138" s="7" t="s">
        <v>66</v>
      </c>
      <c r="V138" s="24" t="e">
        <f t="shared" ca="1" si="2"/>
        <v>#NAME?</v>
      </c>
      <c r="W138" s="7"/>
      <c r="X138" s="7" t="s">
        <v>152</v>
      </c>
      <c r="Y138" s="29" t="s">
        <v>129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601</v>
      </c>
      <c r="C139" s="4" t="s">
        <v>602</v>
      </c>
      <c r="D139" s="7" t="s">
        <v>19</v>
      </c>
      <c r="E139" s="7" t="s">
        <v>20</v>
      </c>
      <c r="F139" s="7" t="s">
        <v>360</v>
      </c>
      <c r="G139" s="7" t="e">
        <f t="shared" ca="1" si="0"/>
        <v>#NAME?</v>
      </c>
      <c r="H139" s="24" t="s">
        <v>145</v>
      </c>
      <c r="I139" s="24" t="s">
        <v>229</v>
      </c>
      <c r="J139" s="7" t="str">
        <f t="shared" si="9"/>
        <v>Não</v>
      </c>
      <c r="K139" s="25">
        <v>44973</v>
      </c>
      <c r="L139" s="7"/>
      <c r="M139" s="7" t="s">
        <v>185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127</v>
      </c>
      <c r="T139" s="7" t="s">
        <v>603</v>
      </c>
      <c r="U139" s="7" t="s">
        <v>20</v>
      </c>
      <c r="V139" s="24" t="e">
        <f t="shared" ca="1" si="2"/>
        <v>#NAME?</v>
      </c>
      <c r="W139" s="7"/>
      <c r="X139" s="7"/>
      <c r="Y139" s="29" t="s">
        <v>129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604</v>
      </c>
      <c r="C140" s="4" t="s">
        <v>605</v>
      </c>
      <c r="D140" s="7" t="s">
        <v>19</v>
      </c>
      <c r="E140" s="7" t="s">
        <v>35</v>
      </c>
      <c r="F140" s="7" t="s">
        <v>606</v>
      </c>
      <c r="G140" s="7" t="e">
        <f t="shared" ca="1" si="0"/>
        <v>#NAME?</v>
      </c>
      <c r="H140" s="24" t="s">
        <v>134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127</v>
      </c>
      <c r="T140" s="7" t="s">
        <v>607</v>
      </c>
      <c r="U140" s="7" t="s">
        <v>41</v>
      </c>
      <c r="V140" s="24" t="e">
        <f t="shared" ca="1" si="2"/>
        <v>#NAME?</v>
      </c>
      <c r="W140" s="7"/>
      <c r="X140" s="7"/>
      <c r="Y140" s="29" t="s">
        <v>129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608</v>
      </c>
      <c r="C141" s="39" t="s">
        <v>609</v>
      </c>
      <c r="D141" s="7" t="s">
        <v>19</v>
      </c>
      <c r="E141" s="7" t="s">
        <v>20</v>
      </c>
      <c r="F141" s="7" t="s">
        <v>184</v>
      </c>
      <c r="G141" s="7" t="e">
        <f t="shared" ca="1" si="0"/>
        <v>#NAME?</v>
      </c>
      <c r="H141" s="24" t="s">
        <v>134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610</v>
      </c>
      <c r="R141" s="28"/>
      <c r="S141" s="7" t="s">
        <v>127</v>
      </c>
      <c r="T141" s="12" t="s">
        <v>611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129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612</v>
      </c>
      <c r="C142" s="39" t="s">
        <v>613</v>
      </c>
      <c r="D142" s="7" t="s">
        <v>19</v>
      </c>
      <c r="E142" s="7" t="s">
        <v>66</v>
      </c>
      <c r="F142" s="7" t="s">
        <v>67</v>
      </c>
      <c r="G142" s="7" t="e">
        <f t="shared" ca="1" si="0"/>
        <v>#NAME?</v>
      </c>
      <c r="H142" s="24" t="s">
        <v>134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454</v>
      </c>
      <c r="N142" s="26">
        <v>7.0000000000000001E-3</v>
      </c>
      <c r="O142" s="7" t="s">
        <v>25</v>
      </c>
      <c r="P142" s="27">
        <v>0</v>
      </c>
      <c r="Q142" s="28" t="s">
        <v>614</v>
      </c>
      <c r="R142" s="28"/>
      <c r="S142" s="7" t="s">
        <v>171</v>
      </c>
      <c r="T142" s="12" t="s">
        <v>615</v>
      </c>
      <c r="U142" s="7" t="s">
        <v>66</v>
      </c>
      <c r="V142" s="24" t="e">
        <f t="shared" ca="1" si="2"/>
        <v>#NAME?</v>
      </c>
      <c r="W142" s="7"/>
      <c r="X142" s="7" t="s">
        <v>42</v>
      </c>
      <c r="Y142" s="29" t="s">
        <v>129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616</v>
      </c>
      <c r="C143" s="39" t="s">
        <v>617</v>
      </c>
      <c r="D143" s="7" t="s">
        <v>46</v>
      </c>
      <c r="E143" s="7" t="s">
        <v>20</v>
      </c>
      <c r="F143" s="7" t="s">
        <v>189</v>
      </c>
      <c r="G143" s="7" t="e">
        <f t="shared" ca="1" si="0"/>
        <v>#NAME?</v>
      </c>
      <c r="H143" s="24" t="s">
        <v>145</v>
      </c>
      <c r="I143" s="24" t="s">
        <v>190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191</v>
      </c>
      <c r="R143" s="28"/>
      <c r="S143" s="7" t="s">
        <v>127</v>
      </c>
      <c r="T143" s="12" t="s">
        <v>618</v>
      </c>
      <c r="U143" s="7" t="s">
        <v>48</v>
      </c>
      <c r="V143" s="24" t="e">
        <f t="shared" ca="1" si="2"/>
        <v>#NAME?</v>
      </c>
      <c r="W143" s="7"/>
      <c r="X143" s="7" t="s">
        <v>137</v>
      </c>
      <c r="Y143" s="29" t="s">
        <v>129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619</v>
      </c>
      <c r="C144" s="4" t="s">
        <v>620</v>
      </c>
      <c r="D144" s="7" t="s">
        <v>19</v>
      </c>
      <c r="E144" s="7" t="s">
        <v>20</v>
      </c>
      <c r="F144" s="7" t="s">
        <v>360</v>
      </c>
      <c r="G144" s="7" t="e">
        <f t="shared" ca="1" si="0"/>
        <v>#NAME?</v>
      </c>
      <c r="H144" s="24" t="s">
        <v>134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127</v>
      </c>
      <c r="T144" s="7" t="s">
        <v>621</v>
      </c>
      <c r="U144" s="7" t="s">
        <v>41</v>
      </c>
      <c r="V144" s="24" t="e">
        <f t="shared" ca="1" si="2"/>
        <v>#NAME?</v>
      </c>
      <c r="W144" s="7"/>
      <c r="X144" s="7"/>
      <c r="Y144" s="29" t="s">
        <v>129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622</v>
      </c>
      <c r="C145" s="60" t="s">
        <v>623</v>
      </c>
      <c r="D145" s="7" t="s">
        <v>46</v>
      </c>
      <c r="E145" s="7" t="s">
        <v>20</v>
      </c>
      <c r="F145" s="7" t="s">
        <v>189</v>
      </c>
      <c r="G145" s="7" t="e">
        <f t="shared" ca="1" si="0"/>
        <v>#NAME?</v>
      </c>
      <c r="H145" s="24" t="s">
        <v>145</v>
      </c>
      <c r="I145" s="24" t="s">
        <v>190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127</v>
      </c>
      <c r="T145" s="7" t="s">
        <v>624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625</v>
      </c>
      <c r="C146" s="39" t="s">
        <v>626</v>
      </c>
      <c r="D146" s="7" t="s">
        <v>46</v>
      </c>
      <c r="E146" s="7" t="s">
        <v>20</v>
      </c>
      <c r="F146" s="7" t="s">
        <v>189</v>
      </c>
      <c r="G146" s="7" t="e">
        <f t="shared" ca="1" si="0"/>
        <v>#NAME?</v>
      </c>
      <c r="H146" s="24" t="s">
        <v>145</v>
      </c>
      <c r="I146" s="24" t="s">
        <v>190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191</v>
      </c>
      <c r="R146" s="28"/>
      <c r="S146" s="7" t="s">
        <v>127</v>
      </c>
      <c r="T146" s="12" t="s">
        <v>627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421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628</v>
      </c>
      <c r="C147" s="4" t="s">
        <v>629</v>
      </c>
      <c r="D147" s="7" t="s">
        <v>19</v>
      </c>
      <c r="E147" s="7" t="s">
        <v>66</v>
      </c>
      <c r="F147" s="7" t="s">
        <v>316</v>
      </c>
      <c r="G147" s="7" t="e">
        <f t="shared" ca="1" si="0"/>
        <v>#NAME?</v>
      </c>
      <c r="H147" s="24" t="s">
        <v>134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127</v>
      </c>
      <c r="T147" s="7" t="s">
        <v>630</v>
      </c>
      <c r="U147" s="7" t="s">
        <v>20</v>
      </c>
      <c r="V147" s="24" t="e">
        <f t="shared" ca="1" si="2"/>
        <v>#NAME?</v>
      </c>
      <c r="W147" s="7"/>
      <c r="X147" s="7"/>
      <c r="Y147" s="29" t="s">
        <v>240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631</v>
      </c>
      <c r="C148" s="4" t="s">
        <v>632</v>
      </c>
      <c r="D148" s="7" t="s">
        <v>19</v>
      </c>
      <c r="E148" s="7" t="s">
        <v>20</v>
      </c>
      <c r="F148" s="7" t="s">
        <v>195</v>
      </c>
      <c r="G148" s="7" t="e">
        <f t="shared" ca="1" si="0"/>
        <v>#NAME?</v>
      </c>
      <c r="H148" s="24" t="s">
        <v>134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633</v>
      </c>
      <c r="S148" s="7" t="s">
        <v>127</v>
      </c>
      <c r="T148" s="7" t="s">
        <v>634</v>
      </c>
      <c r="U148" s="7" t="s">
        <v>20</v>
      </c>
      <c r="V148" s="24" t="e">
        <f t="shared" ca="1" si="2"/>
        <v>#NAME?</v>
      </c>
      <c r="W148" s="7"/>
      <c r="X148" s="7"/>
      <c r="Y148" s="29" t="s">
        <v>129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635</v>
      </c>
      <c r="C149" s="4" t="s">
        <v>636</v>
      </c>
      <c r="D149" s="7" t="s">
        <v>19</v>
      </c>
      <c r="E149" s="7" t="s">
        <v>35</v>
      </c>
      <c r="F149" s="7" t="s">
        <v>199</v>
      </c>
      <c r="G149" s="7" t="e">
        <f t="shared" ca="1" si="0"/>
        <v>#NAME?</v>
      </c>
      <c r="H149" s="24" t="s">
        <v>134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185</v>
      </c>
      <c r="N149" s="26">
        <v>1.4999999999999999E-2</v>
      </c>
      <c r="O149" s="7" t="s">
        <v>39</v>
      </c>
      <c r="P149" s="27">
        <v>0.1</v>
      </c>
      <c r="Q149" s="28"/>
      <c r="R149" s="28" t="s">
        <v>637</v>
      </c>
      <c r="S149" s="7" t="s">
        <v>127</v>
      </c>
      <c r="T149" s="7" t="s">
        <v>638</v>
      </c>
      <c r="U149" s="7" t="s">
        <v>202</v>
      </c>
      <c r="V149" s="24" t="e">
        <f t="shared" ca="1" si="2"/>
        <v>#NAME?</v>
      </c>
      <c r="W149" s="7"/>
      <c r="X149" s="7"/>
      <c r="Y149" s="29" t="s">
        <v>129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639</v>
      </c>
      <c r="C150" s="4" t="s">
        <v>640</v>
      </c>
      <c r="D150" s="7" t="s">
        <v>19</v>
      </c>
      <c r="E150" s="7" t="s">
        <v>35</v>
      </c>
      <c r="F150" s="7" t="s">
        <v>199</v>
      </c>
      <c r="G150" s="7" t="e">
        <f t="shared" ca="1" si="0"/>
        <v>#NAME?</v>
      </c>
      <c r="H150" s="24" t="s">
        <v>134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127</v>
      </c>
      <c r="T150" s="7" t="s">
        <v>641</v>
      </c>
      <c r="U150" s="7" t="s">
        <v>202</v>
      </c>
      <c r="V150" s="24" t="e">
        <f t="shared" ca="1" si="2"/>
        <v>#NAME?</v>
      </c>
      <c r="W150" s="7"/>
      <c r="X150" s="7"/>
      <c r="Y150" s="29" t="s">
        <v>129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639</v>
      </c>
      <c r="C151" s="4" t="s">
        <v>642</v>
      </c>
      <c r="D151" s="7" t="s">
        <v>19</v>
      </c>
      <c r="E151" s="7" t="s">
        <v>35</v>
      </c>
      <c r="F151" s="7" t="s">
        <v>199</v>
      </c>
      <c r="G151" s="7" t="e">
        <f t="shared" ca="1" si="0"/>
        <v>#NAME?</v>
      </c>
      <c r="H151" s="24" t="s">
        <v>134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242</v>
      </c>
      <c r="N151" s="26">
        <v>2.5000000000000001E-2</v>
      </c>
      <c r="O151" s="7" t="s">
        <v>167</v>
      </c>
      <c r="P151" s="27">
        <v>0.2</v>
      </c>
      <c r="Q151" s="28"/>
      <c r="R151" s="28"/>
      <c r="S151" s="7" t="s">
        <v>127</v>
      </c>
      <c r="T151" s="7" t="s">
        <v>641</v>
      </c>
      <c r="U151" s="7" t="s">
        <v>202</v>
      </c>
      <c r="V151" s="24" t="e">
        <f t="shared" ca="1" si="2"/>
        <v>#NAME?</v>
      </c>
      <c r="W151" s="7"/>
      <c r="X151" s="7"/>
      <c r="Y151" s="29" t="s">
        <v>129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643</v>
      </c>
      <c r="C152" s="4" t="s">
        <v>644</v>
      </c>
      <c r="D152" s="7" t="s">
        <v>19</v>
      </c>
      <c r="E152" s="7" t="s">
        <v>20</v>
      </c>
      <c r="F152" s="7" t="s">
        <v>184</v>
      </c>
      <c r="G152" s="7" t="e">
        <f t="shared" ca="1" si="0"/>
        <v>#NAME?</v>
      </c>
      <c r="H152" s="24" t="s">
        <v>145</v>
      </c>
      <c r="I152" s="24" t="s">
        <v>146</v>
      </c>
      <c r="J152" s="7" t="str">
        <f t="shared" si="9"/>
        <v>Não</v>
      </c>
      <c r="K152" s="25">
        <v>45264</v>
      </c>
      <c r="L152" s="25"/>
      <c r="M152" s="9" t="s">
        <v>345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127</v>
      </c>
      <c r="T152" s="7" t="s">
        <v>645</v>
      </c>
      <c r="U152" s="7" t="s">
        <v>20</v>
      </c>
      <c r="V152" s="24" t="e">
        <f t="shared" ca="1" si="2"/>
        <v>#NAME?</v>
      </c>
      <c r="W152" s="7"/>
      <c r="X152" s="7"/>
      <c r="Y152" s="29" t="s">
        <v>129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646</v>
      </c>
      <c r="C153" s="41" t="s">
        <v>647</v>
      </c>
      <c r="D153" s="7" t="s">
        <v>46</v>
      </c>
      <c r="E153" s="7" t="s">
        <v>20</v>
      </c>
      <c r="F153" s="7" t="s">
        <v>124</v>
      </c>
      <c r="G153" s="7" t="e">
        <f t="shared" ca="1" si="0"/>
        <v>#NAME?</v>
      </c>
      <c r="H153" s="24" t="s">
        <v>145</v>
      </c>
      <c r="I153" s="24" t="s">
        <v>146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127</v>
      </c>
      <c r="T153" s="7" t="s">
        <v>648</v>
      </c>
      <c r="U153" s="7" t="s">
        <v>20</v>
      </c>
      <c r="V153" s="24" t="e">
        <f t="shared" ca="1" si="2"/>
        <v>#NAME?</v>
      </c>
      <c r="W153" s="7"/>
      <c r="X153" s="7"/>
      <c r="Y153" s="29" t="s">
        <v>129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649</v>
      </c>
      <c r="C154" s="4" t="s">
        <v>650</v>
      </c>
      <c r="D154" s="7" t="s">
        <v>19</v>
      </c>
      <c r="E154" s="7" t="s">
        <v>41</v>
      </c>
      <c r="F154" s="7" t="s">
        <v>651</v>
      </c>
      <c r="G154" s="7" t="e">
        <f t="shared" ca="1" si="0"/>
        <v>#NAME?</v>
      </c>
      <c r="H154" s="24" t="s">
        <v>134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185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127</v>
      </c>
      <c r="T154" s="7" t="s">
        <v>652</v>
      </c>
      <c r="U154" s="7" t="s">
        <v>41</v>
      </c>
      <c r="V154" s="24" t="e">
        <f t="shared" ca="1" si="2"/>
        <v>#NAME?</v>
      </c>
      <c r="W154" s="7"/>
      <c r="X154" s="7"/>
      <c r="Y154" s="29" t="s">
        <v>129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653</v>
      </c>
      <c r="C155" s="4" t="s">
        <v>654</v>
      </c>
      <c r="D155" s="7" t="s">
        <v>19</v>
      </c>
      <c r="E155" s="7" t="s">
        <v>66</v>
      </c>
      <c r="F155" s="7" t="s">
        <v>67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655</v>
      </c>
      <c r="R155" s="28"/>
      <c r="S155" s="7" t="s">
        <v>127</v>
      </c>
      <c r="T155" s="7" t="s">
        <v>656</v>
      </c>
      <c r="U155" s="7" t="s">
        <v>575</v>
      </c>
      <c r="V155" s="24" t="e">
        <f t="shared" ca="1" si="2"/>
        <v>#NAME?</v>
      </c>
      <c r="W155" s="7"/>
      <c r="X155" s="7"/>
      <c r="Y155" s="29" t="s">
        <v>240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657</v>
      </c>
      <c r="C156" s="4" t="s">
        <v>658</v>
      </c>
      <c r="D156" s="7" t="s">
        <v>19</v>
      </c>
      <c r="E156" s="7" t="s">
        <v>35</v>
      </c>
      <c r="F156" s="7" t="s">
        <v>250</v>
      </c>
      <c r="G156" s="7" t="e">
        <f t="shared" ca="1" si="0"/>
        <v>#NAME?</v>
      </c>
      <c r="H156" s="24" t="s">
        <v>125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127</v>
      </c>
      <c r="T156" s="7" t="s">
        <v>659</v>
      </c>
      <c r="U156" s="7" t="s">
        <v>202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660</v>
      </c>
      <c r="C157" s="4" t="s">
        <v>661</v>
      </c>
      <c r="D157" s="7" t="s">
        <v>19</v>
      </c>
      <c r="E157" s="7" t="s">
        <v>35</v>
      </c>
      <c r="F157" s="7" t="s">
        <v>250</v>
      </c>
      <c r="G157" s="7" t="e">
        <f t="shared" ca="1" si="0"/>
        <v>#NAME?</v>
      </c>
      <c r="H157" s="24" t="s">
        <v>134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185</v>
      </c>
      <c r="N157" s="26">
        <v>1.4999999999999999E-2</v>
      </c>
      <c r="O157" s="7" t="s">
        <v>39</v>
      </c>
      <c r="P157" s="27">
        <v>0.1</v>
      </c>
      <c r="Q157" s="23" t="s">
        <v>662</v>
      </c>
      <c r="R157" s="28" t="s">
        <v>663</v>
      </c>
      <c r="S157" s="7" t="s">
        <v>127</v>
      </c>
      <c r="T157" s="7" t="s">
        <v>659</v>
      </c>
      <c r="U157" s="7" t="s">
        <v>202</v>
      </c>
      <c r="V157" s="24" t="e">
        <f t="shared" ca="1" si="2"/>
        <v>#NAME?</v>
      </c>
      <c r="W157" s="7"/>
      <c r="X157" s="7"/>
      <c r="Y157" s="29" t="s">
        <v>129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664</v>
      </c>
      <c r="C158" s="4" t="s">
        <v>665</v>
      </c>
      <c r="D158" s="7" t="s">
        <v>19</v>
      </c>
      <c r="E158" s="7" t="s">
        <v>35</v>
      </c>
      <c r="F158" s="7" t="s">
        <v>199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185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127</v>
      </c>
      <c r="T158" s="7" t="s">
        <v>666</v>
      </c>
      <c r="U158" s="7" t="s">
        <v>202</v>
      </c>
      <c r="V158" s="24" t="e">
        <f t="shared" ca="1" si="2"/>
        <v>#NAME?</v>
      </c>
      <c r="W158" s="7"/>
      <c r="X158" s="7"/>
      <c r="Y158" s="29" t="s">
        <v>129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667</v>
      </c>
      <c r="C159" s="4" t="s">
        <v>668</v>
      </c>
      <c r="D159" s="7" t="s">
        <v>19</v>
      </c>
      <c r="E159" s="7" t="s">
        <v>35</v>
      </c>
      <c r="F159" s="7" t="s">
        <v>199</v>
      </c>
      <c r="G159" s="7" t="e">
        <f t="shared" ca="1" si="0"/>
        <v>#NAME?</v>
      </c>
      <c r="H159" s="24" t="s">
        <v>125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127</v>
      </c>
      <c r="T159" s="7" t="s">
        <v>666</v>
      </c>
      <c r="U159" s="7" t="s">
        <v>202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669</v>
      </c>
      <c r="C160" s="4" t="s">
        <v>670</v>
      </c>
      <c r="D160" s="7" t="s">
        <v>19</v>
      </c>
      <c r="E160" s="7" t="s">
        <v>66</v>
      </c>
      <c r="F160" s="7" t="s">
        <v>144</v>
      </c>
      <c r="G160" s="7" t="e">
        <f t="shared" ca="1" si="0"/>
        <v>#NAME?</v>
      </c>
      <c r="H160" s="24" t="s">
        <v>145</v>
      </c>
      <c r="I160" s="24" t="s">
        <v>146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671</v>
      </c>
      <c r="S160" s="7" t="s">
        <v>127</v>
      </c>
      <c r="T160" s="7" t="s">
        <v>672</v>
      </c>
      <c r="U160" s="7" t="s">
        <v>66</v>
      </c>
      <c r="V160" s="24" t="e">
        <f t="shared" ca="1" si="2"/>
        <v>#NAME?</v>
      </c>
      <c r="W160" s="7"/>
      <c r="X160" s="7"/>
      <c r="Y160" s="29" t="s">
        <v>129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673</v>
      </c>
      <c r="C161" s="4" t="s">
        <v>674</v>
      </c>
      <c r="D161" s="7" t="s">
        <v>19</v>
      </c>
      <c r="E161" s="7" t="s">
        <v>66</v>
      </c>
      <c r="F161" s="7" t="s">
        <v>316</v>
      </c>
      <c r="G161" s="7" t="e">
        <f t="shared" ca="1" si="0"/>
        <v>#NAME?</v>
      </c>
      <c r="H161" s="24" t="s">
        <v>125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171</v>
      </c>
      <c r="T161" s="7" t="s">
        <v>675</v>
      </c>
      <c r="U161" s="7" t="s">
        <v>20</v>
      </c>
      <c r="V161" s="24" t="e">
        <f t="shared" ca="1" si="2"/>
        <v>#NAME?</v>
      </c>
      <c r="W161" s="7"/>
      <c r="X161" s="7"/>
      <c r="Y161" s="29" t="s">
        <v>129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673</v>
      </c>
      <c r="C162" s="4" t="s">
        <v>676</v>
      </c>
      <c r="D162" s="7" t="s">
        <v>19</v>
      </c>
      <c r="E162" s="7" t="s">
        <v>66</v>
      </c>
      <c r="F162" s="7" t="s">
        <v>316</v>
      </c>
      <c r="G162" s="7" t="e">
        <f t="shared" ca="1" si="0"/>
        <v>#NAME?</v>
      </c>
      <c r="H162" s="24" t="s">
        <v>125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171</v>
      </c>
      <c r="T162" s="7" t="s">
        <v>675</v>
      </c>
      <c r="U162" s="7" t="s">
        <v>20</v>
      </c>
      <c r="V162" s="24" t="e">
        <f t="shared" ca="1" si="2"/>
        <v>#NAME?</v>
      </c>
      <c r="W162" s="7"/>
      <c r="X162" s="7"/>
      <c r="Y162" s="29" t="s">
        <v>129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677</v>
      </c>
      <c r="C163" s="4" t="s">
        <v>678</v>
      </c>
      <c r="D163" s="7" t="s">
        <v>179</v>
      </c>
      <c r="E163" s="7" t="s">
        <v>20</v>
      </c>
      <c r="F163" s="7" t="s">
        <v>180</v>
      </c>
      <c r="G163" s="7" t="e">
        <f t="shared" ca="1" si="0"/>
        <v>#NAME?</v>
      </c>
      <c r="H163" s="24" t="s">
        <v>134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185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127</v>
      </c>
      <c r="T163" s="7" t="s">
        <v>679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680</v>
      </c>
      <c r="C164" s="4" t="s">
        <v>681</v>
      </c>
      <c r="D164" s="7" t="s">
        <v>19</v>
      </c>
      <c r="E164" s="7" t="s">
        <v>35</v>
      </c>
      <c r="F164" s="7" t="s">
        <v>250</v>
      </c>
      <c r="G164" s="7" t="e">
        <f t="shared" ca="1" si="0"/>
        <v>#NAME?</v>
      </c>
      <c r="H164" s="24" t="s">
        <v>145</v>
      </c>
      <c r="I164" s="24" t="s">
        <v>229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682</v>
      </c>
      <c r="S164" s="7" t="s">
        <v>127</v>
      </c>
      <c r="T164" s="7" t="s">
        <v>683</v>
      </c>
      <c r="U164" s="7" t="s">
        <v>202</v>
      </c>
      <c r="V164" s="24" t="e">
        <f t="shared" ca="1" si="2"/>
        <v>#NAME?</v>
      </c>
      <c r="W164" s="7"/>
      <c r="X164" s="7"/>
      <c r="Y164" s="29" t="s">
        <v>129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684</v>
      </c>
      <c r="C165" s="4" t="s">
        <v>685</v>
      </c>
      <c r="D165" s="7" t="s">
        <v>19</v>
      </c>
      <c r="E165" s="7" t="s">
        <v>66</v>
      </c>
      <c r="F165" s="7" t="s">
        <v>144</v>
      </c>
      <c r="G165" s="7" t="e">
        <f t="shared" ca="1" si="0"/>
        <v>#NAME?</v>
      </c>
      <c r="H165" s="24" t="s">
        <v>125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185</v>
      </c>
      <c r="N165" s="26">
        <v>1.4999999999999999E-2</v>
      </c>
      <c r="O165" s="7" t="s">
        <v>39</v>
      </c>
      <c r="P165" s="27">
        <v>0.1</v>
      </c>
      <c r="Q165" s="28"/>
      <c r="R165" s="45" t="s">
        <v>297</v>
      </c>
      <c r="S165" s="7" t="s">
        <v>127</v>
      </c>
      <c r="T165" s="7" t="s">
        <v>686</v>
      </c>
      <c r="U165" s="7" t="s">
        <v>66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687</v>
      </c>
      <c r="C166" s="4" t="s">
        <v>688</v>
      </c>
      <c r="D166" s="7" t="s">
        <v>19</v>
      </c>
      <c r="E166" s="7" t="s">
        <v>66</v>
      </c>
      <c r="F166" s="7" t="s">
        <v>316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333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127</v>
      </c>
      <c r="T166" s="7" t="s">
        <v>689</v>
      </c>
      <c r="U166" s="7" t="s">
        <v>48</v>
      </c>
      <c r="V166" s="24" t="e">
        <f t="shared" ca="1" si="2"/>
        <v>#NAME?</v>
      </c>
      <c r="W166" s="7"/>
      <c r="X166" s="7"/>
      <c r="Y166" s="29" t="s">
        <v>129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690</v>
      </c>
      <c r="C167" s="4" t="s">
        <v>691</v>
      </c>
      <c r="D167" s="7" t="s">
        <v>46</v>
      </c>
      <c r="E167" s="7" t="s">
        <v>20</v>
      </c>
      <c r="F167" s="7" t="s">
        <v>477</v>
      </c>
      <c r="G167" s="7" t="e">
        <f t="shared" ca="1" si="0"/>
        <v>#NAME?</v>
      </c>
      <c r="H167" s="24" t="s">
        <v>125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345</v>
      </c>
      <c r="N167" s="26">
        <v>8.5000000000000006E-3</v>
      </c>
      <c r="O167" s="7" t="s">
        <v>25</v>
      </c>
      <c r="P167" s="27">
        <v>0</v>
      </c>
      <c r="Q167" s="82"/>
      <c r="R167" s="28" t="s">
        <v>692</v>
      </c>
      <c r="S167" s="7" t="s">
        <v>127</v>
      </c>
      <c r="T167" s="7" t="s">
        <v>693</v>
      </c>
      <c r="U167" s="7" t="s">
        <v>20</v>
      </c>
      <c r="V167" s="24" t="e">
        <f t="shared" ca="1" si="2"/>
        <v>#NAME?</v>
      </c>
      <c r="W167" s="7"/>
      <c r="X167" s="7"/>
      <c r="Y167" s="29" t="s">
        <v>129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694</v>
      </c>
      <c r="C168" s="4" t="s">
        <v>695</v>
      </c>
      <c r="D168" s="7" t="s">
        <v>46</v>
      </c>
      <c r="E168" s="7" t="s">
        <v>20</v>
      </c>
      <c r="F168" s="7" t="s">
        <v>124</v>
      </c>
      <c r="G168" s="7" t="e">
        <f t="shared" ca="1" si="0"/>
        <v>#NAME?</v>
      </c>
      <c r="H168" s="24" t="s">
        <v>125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696</v>
      </c>
      <c r="N168" s="26">
        <v>8.0000000000000002E-3</v>
      </c>
      <c r="O168" s="7" t="s">
        <v>25</v>
      </c>
      <c r="P168" s="27">
        <v>0</v>
      </c>
      <c r="Q168" s="28"/>
      <c r="R168" s="28" t="s">
        <v>692</v>
      </c>
      <c r="S168" s="7" t="s">
        <v>127</v>
      </c>
      <c r="T168" s="7" t="s">
        <v>697</v>
      </c>
      <c r="U168" s="7" t="s">
        <v>20</v>
      </c>
      <c r="V168" s="24" t="e">
        <f t="shared" ca="1" si="2"/>
        <v>#NAME?</v>
      </c>
      <c r="W168" s="7"/>
      <c r="X168" s="7"/>
      <c r="Y168" s="29" t="s">
        <v>129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698</v>
      </c>
      <c r="C169" s="44" t="s">
        <v>699</v>
      </c>
      <c r="D169" s="7" t="s">
        <v>19</v>
      </c>
      <c r="E169" s="7" t="s">
        <v>66</v>
      </c>
      <c r="F169" s="7" t="s">
        <v>144</v>
      </c>
      <c r="G169" s="7" t="e">
        <f t="shared" ca="1" si="0"/>
        <v>#NAME?</v>
      </c>
      <c r="H169" s="24" t="s">
        <v>134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245</v>
      </c>
      <c r="N169" s="26">
        <v>8.0000000000000002E-3</v>
      </c>
      <c r="O169" s="7" t="s">
        <v>246</v>
      </c>
      <c r="P169" s="27">
        <v>0.1</v>
      </c>
      <c r="Q169" s="28"/>
      <c r="R169" s="28"/>
      <c r="S169" s="7" t="s">
        <v>127</v>
      </c>
      <c r="T169" s="7" t="s">
        <v>700</v>
      </c>
      <c r="U169" s="7" t="s">
        <v>66</v>
      </c>
      <c r="V169" s="24" t="e">
        <f t="shared" ca="1" si="2"/>
        <v>#NAME?</v>
      </c>
      <c r="W169" s="7"/>
      <c r="X169" s="7"/>
      <c r="Y169" s="29" t="s">
        <v>129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701</v>
      </c>
      <c r="C170" s="46" t="s">
        <v>702</v>
      </c>
      <c r="D170" s="7" t="s">
        <v>19</v>
      </c>
      <c r="E170" s="7" t="s">
        <v>66</v>
      </c>
      <c r="F170" s="7" t="s">
        <v>144</v>
      </c>
      <c r="G170" s="7" t="e">
        <f t="shared" ca="1" si="0"/>
        <v>#NAME?</v>
      </c>
      <c r="H170" s="24" t="s">
        <v>134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127</v>
      </c>
      <c r="T170" s="7" t="s">
        <v>700</v>
      </c>
      <c r="U170" s="7" t="s">
        <v>66</v>
      </c>
      <c r="V170" s="24" t="e">
        <f t="shared" ca="1" si="2"/>
        <v>#NAME?</v>
      </c>
      <c r="W170" s="7"/>
      <c r="X170" s="7"/>
      <c r="Y170" s="29" t="s">
        <v>129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703</v>
      </c>
      <c r="C171" s="4" t="s">
        <v>704</v>
      </c>
      <c r="D171" s="7" t="s">
        <v>19</v>
      </c>
      <c r="E171" s="7" t="s">
        <v>20</v>
      </c>
      <c r="F171" s="7" t="s">
        <v>360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156</v>
      </c>
      <c r="N171" s="26">
        <v>0</v>
      </c>
      <c r="O171" s="7" t="s">
        <v>25</v>
      </c>
      <c r="P171" s="27">
        <v>0</v>
      </c>
      <c r="Q171" s="28"/>
      <c r="R171" s="28" t="s">
        <v>705</v>
      </c>
      <c r="S171" s="7" t="s">
        <v>127</v>
      </c>
      <c r="T171" s="7" t="s">
        <v>706</v>
      </c>
      <c r="U171" s="7" t="s">
        <v>20</v>
      </c>
      <c r="V171" s="24" t="e">
        <f t="shared" ca="1" si="2"/>
        <v>#NAME?</v>
      </c>
      <c r="W171" s="7"/>
      <c r="X171" s="7"/>
      <c r="Y171" s="29" t="s">
        <v>129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707</v>
      </c>
      <c r="C172" s="49" t="s">
        <v>708</v>
      </c>
      <c r="D172" s="7" t="s">
        <v>19</v>
      </c>
      <c r="E172" s="7" t="s">
        <v>66</v>
      </c>
      <c r="F172" s="7" t="s">
        <v>709</v>
      </c>
      <c r="G172" s="7" t="e">
        <f t="shared" ca="1" si="0"/>
        <v>#NAME?</v>
      </c>
      <c r="H172" s="24" t="s">
        <v>125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297</v>
      </c>
      <c r="S172" s="7" t="s">
        <v>127</v>
      </c>
      <c r="T172" s="7" t="s">
        <v>710</v>
      </c>
      <c r="U172" s="7" t="s">
        <v>20</v>
      </c>
      <c r="V172" s="24" t="e">
        <f t="shared" ca="1" si="2"/>
        <v>#NAME?</v>
      </c>
      <c r="W172" s="7"/>
      <c r="X172" s="7"/>
      <c r="Y172" s="29" t="s">
        <v>240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711</v>
      </c>
      <c r="C173" s="49" t="s">
        <v>712</v>
      </c>
      <c r="D173" s="7" t="s">
        <v>46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145</v>
      </c>
      <c r="I173" s="24" t="s">
        <v>190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713</v>
      </c>
      <c r="R173" s="45"/>
      <c r="S173" s="7" t="s">
        <v>127</v>
      </c>
      <c r="T173" s="7" t="s">
        <v>714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715</v>
      </c>
      <c r="C174" s="49" t="s">
        <v>716</v>
      </c>
      <c r="D174" s="7" t="s">
        <v>19</v>
      </c>
      <c r="E174" s="7" t="s">
        <v>20</v>
      </c>
      <c r="F174" s="7" t="s">
        <v>184</v>
      </c>
      <c r="G174" s="7" t="e">
        <f t="shared" ca="1" si="0"/>
        <v>#NAME?</v>
      </c>
      <c r="H174" s="24" t="s">
        <v>134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127</v>
      </c>
      <c r="T174" s="7" t="s">
        <v>717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129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718</v>
      </c>
      <c r="C175" s="4" t="s">
        <v>719</v>
      </c>
      <c r="D175" s="7" t="s">
        <v>19</v>
      </c>
      <c r="E175" s="7" t="s">
        <v>20</v>
      </c>
      <c r="F175" s="7" t="s">
        <v>720</v>
      </c>
      <c r="G175" s="7" t="e">
        <f t="shared" ca="1" si="0"/>
        <v>#NAME?</v>
      </c>
      <c r="H175" s="24" t="s">
        <v>134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721</v>
      </c>
      <c r="S175" s="7" t="s">
        <v>127</v>
      </c>
      <c r="T175" s="7" t="s">
        <v>722</v>
      </c>
      <c r="U175" s="7" t="s">
        <v>66</v>
      </c>
      <c r="V175" s="24" t="e">
        <f t="shared" ca="1" si="2"/>
        <v>#NAME?</v>
      </c>
      <c r="W175" s="7"/>
      <c r="X175" s="7"/>
      <c r="Y175" s="29" t="s">
        <v>129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723</v>
      </c>
      <c r="C176" s="39" t="s">
        <v>724</v>
      </c>
      <c r="D176" s="7" t="s">
        <v>55</v>
      </c>
      <c r="E176" s="7" t="s">
        <v>20</v>
      </c>
      <c r="F176" s="7" t="s">
        <v>234</v>
      </c>
      <c r="G176" s="7" t="e">
        <f t="shared" ca="1" si="0"/>
        <v>#NAME?</v>
      </c>
      <c r="H176" s="24" t="s">
        <v>134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725</v>
      </c>
      <c r="R176" s="13"/>
      <c r="S176" s="7" t="s">
        <v>127</v>
      </c>
      <c r="T176" s="7" t="s">
        <v>726</v>
      </c>
      <c r="U176" s="7" t="s">
        <v>41</v>
      </c>
      <c r="V176" s="24" t="e">
        <f t="shared" ca="1" si="2"/>
        <v>#NAME?</v>
      </c>
      <c r="W176" s="7"/>
      <c r="X176" s="7" t="s">
        <v>152</v>
      </c>
      <c r="Y176" s="29" t="s">
        <v>129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727</v>
      </c>
      <c r="C177" s="4" t="s">
        <v>728</v>
      </c>
      <c r="D177" s="7" t="s">
        <v>19</v>
      </c>
      <c r="E177" s="7" t="s">
        <v>35</v>
      </c>
      <c r="F177" s="7" t="s">
        <v>199</v>
      </c>
      <c r="G177" s="7" t="e">
        <f t="shared" ca="1" si="0"/>
        <v>#NAME?</v>
      </c>
      <c r="H177" s="24" t="s">
        <v>134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242</v>
      </c>
      <c r="N177" s="26">
        <v>2.5000000000000001E-2</v>
      </c>
      <c r="O177" s="7" t="s">
        <v>167</v>
      </c>
      <c r="P177" s="27">
        <v>0.2</v>
      </c>
      <c r="Q177" s="23"/>
      <c r="R177" s="28" t="s">
        <v>729</v>
      </c>
      <c r="S177" s="7" t="s">
        <v>127</v>
      </c>
      <c r="T177" s="7" t="s">
        <v>730</v>
      </c>
      <c r="U177" s="7" t="s">
        <v>202</v>
      </c>
      <c r="V177" s="24" t="e">
        <f t="shared" ca="1" si="2"/>
        <v>#NAME?</v>
      </c>
      <c r="W177" s="7"/>
      <c r="X177" s="7"/>
      <c r="Y177" s="29" t="s">
        <v>129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727</v>
      </c>
      <c r="C178" s="4" t="s">
        <v>731</v>
      </c>
      <c r="D178" s="7" t="s">
        <v>19</v>
      </c>
      <c r="E178" s="7" t="s">
        <v>35</v>
      </c>
      <c r="F178" s="7" t="s">
        <v>199</v>
      </c>
      <c r="G178" s="7" t="e">
        <f t="shared" ca="1" si="0"/>
        <v>#NAME?</v>
      </c>
      <c r="H178" s="24" t="s">
        <v>134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732</v>
      </c>
      <c r="S178" s="7" t="s">
        <v>127</v>
      </c>
      <c r="T178" s="7" t="s">
        <v>730</v>
      </c>
      <c r="U178" s="7" t="s">
        <v>202</v>
      </c>
      <c r="V178" s="24" t="e">
        <f t="shared" ca="1" si="2"/>
        <v>#NAME?</v>
      </c>
      <c r="W178" s="7"/>
      <c r="X178" s="7"/>
      <c r="Y178" s="29" t="s">
        <v>129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733</v>
      </c>
      <c r="C179" s="39" t="s">
        <v>734</v>
      </c>
      <c r="D179" s="7" t="s">
        <v>19</v>
      </c>
      <c r="E179" s="7" t="s">
        <v>20</v>
      </c>
      <c r="F179" s="7" t="s">
        <v>184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127</v>
      </c>
      <c r="T179" s="12" t="s">
        <v>735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129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736</v>
      </c>
      <c r="C180" s="4" t="s">
        <v>737</v>
      </c>
      <c r="D180" s="7" t="s">
        <v>19</v>
      </c>
      <c r="E180" s="7" t="s">
        <v>35</v>
      </c>
      <c r="F180" s="7" t="s">
        <v>199</v>
      </c>
      <c r="G180" s="7" t="e">
        <f t="shared" ca="1" si="0"/>
        <v>#NAME?</v>
      </c>
      <c r="H180" s="24" t="s">
        <v>125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245</v>
      </c>
      <c r="N180" s="26">
        <v>8.0000000000000002E-3</v>
      </c>
      <c r="O180" s="7" t="s">
        <v>246</v>
      </c>
      <c r="P180" s="27">
        <v>0.1</v>
      </c>
      <c r="Q180" s="28"/>
      <c r="R180" s="28"/>
      <c r="S180" s="7" t="s">
        <v>127</v>
      </c>
      <c r="T180" s="7" t="s">
        <v>738</v>
      </c>
      <c r="U180" s="7" t="s">
        <v>202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736</v>
      </c>
      <c r="C181" s="4" t="s">
        <v>739</v>
      </c>
      <c r="D181" s="7" t="s">
        <v>19</v>
      </c>
      <c r="E181" s="7" t="s">
        <v>35</v>
      </c>
      <c r="F181" s="7" t="s">
        <v>199</v>
      </c>
      <c r="G181" s="7" t="e">
        <f t="shared" ca="1" si="0"/>
        <v>#NAME?</v>
      </c>
      <c r="H181" s="24" t="s">
        <v>125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127</v>
      </c>
      <c r="T181" s="7" t="s">
        <v>738</v>
      </c>
      <c r="U181" s="7" t="s">
        <v>202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740</v>
      </c>
      <c r="C182" s="4" t="s">
        <v>741</v>
      </c>
      <c r="D182" s="7" t="s">
        <v>19</v>
      </c>
      <c r="E182" s="7" t="s">
        <v>35</v>
      </c>
      <c r="F182" s="7" t="s">
        <v>199</v>
      </c>
      <c r="G182" s="7" t="e">
        <f t="shared" ca="1" si="0"/>
        <v>#NAME?</v>
      </c>
      <c r="H182" s="24" t="s">
        <v>145</v>
      </c>
      <c r="I182" s="24" t="s">
        <v>146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742</v>
      </c>
      <c r="S182" s="7" t="s">
        <v>127</v>
      </c>
      <c r="T182" s="7" t="s">
        <v>738</v>
      </c>
      <c r="U182" s="7" t="s">
        <v>202</v>
      </c>
      <c r="V182" s="24" t="e">
        <f t="shared" ca="1" si="2"/>
        <v>#NAME?</v>
      </c>
      <c r="W182" s="7"/>
      <c r="X182" s="7"/>
      <c r="Y182" s="30" t="s">
        <v>129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743</v>
      </c>
      <c r="C183" s="4" t="s">
        <v>744</v>
      </c>
      <c r="D183" s="7" t="s">
        <v>19</v>
      </c>
      <c r="E183" s="7" t="s">
        <v>20</v>
      </c>
      <c r="F183" s="7" t="s">
        <v>437</v>
      </c>
      <c r="G183" s="7" t="e">
        <f t="shared" ca="1" si="0"/>
        <v>#NAME?</v>
      </c>
      <c r="H183" s="24" t="s">
        <v>134</v>
      </c>
      <c r="I183" s="24" t="s">
        <v>146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171</v>
      </c>
      <c r="T183" s="7" t="s">
        <v>745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129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746</v>
      </c>
      <c r="C184" s="4" t="s">
        <v>747</v>
      </c>
      <c r="D184" s="7" t="s">
        <v>19</v>
      </c>
      <c r="E184" s="7" t="s">
        <v>66</v>
      </c>
      <c r="F184" s="7" t="s">
        <v>144</v>
      </c>
      <c r="G184" s="7" t="e">
        <f t="shared" ca="1" si="0"/>
        <v>#NAME?</v>
      </c>
      <c r="H184" s="24" t="s">
        <v>145</v>
      </c>
      <c r="I184" s="24" t="s">
        <v>229</v>
      </c>
      <c r="J184" s="7" t="str">
        <f t="shared" si="11"/>
        <v>Não</v>
      </c>
      <c r="K184" s="25">
        <v>45121</v>
      </c>
      <c r="L184" s="25"/>
      <c r="M184" s="7" t="s">
        <v>454</v>
      </c>
      <c r="N184" s="26">
        <v>8.0000000000000002E-3</v>
      </c>
      <c r="O184" s="7" t="s">
        <v>25</v>
      </c>
      <c r="P184" s="27">
        <v>0</v>
      </c>
      <c r="Q184" s="28"/>
      <c r="R184" s="28" t="s">
        <v>748</v>
      </c>
      <c r="S184" s="7" t="s">
        <v>171</v>
      </c>
      <c r="T184" s="7" t="s">
        <v>749</v>
      </c>
      <c r="U184" s="7" t="s">
        <v>66</v>
      </c>
      <c r="V184" s="24" t="e">
        <f t="shared" ca="1" si="2"/>
        <v>#NAME?</v>
      </c>
      <c r="W184" s="7"/>
      <c r="X184" s="7"/>
      <c r="Y184" s="29" t="s">
        <v>240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750</v>
      </c>
      <c r="C185" s="4" t="s">
        <v>751</v>
      </c>
      <c r="D185" s="7" t="s">
        <v>46</v>
      </c>
      <c r="E185" s="7" t="s">
        <v>20</v>
      </c>
      <c r="F185" s="7" t="s">
        <v>124</v>
      </c>
      <c r="G185" s="7" t="e">
        <f t="shared" ca="1" si="0"/>
        <v>#NAME?</v>
      </c>
      <c r="H185" s="24" t="s">
        <v>145</v>
      </c>
      <c r="I185" s="24" t="s">
        <v>229</v>
      </c>
      <c r="J185" s="7" t="str">
        <f t="shared" si="11"/>
        <v>Não</v>
      </c>
      <c r="K185" s="25">
        <v>45166</v>
      </c>
      <c r="L185" s="7"/>
      <c r="M185" s="7" t="s">
        <v>185</v>
      </c>
      <c r="N185" s="26">
        <v>0.01</v>
      </c>
      <c r="O185" s="7" t="s">
        <v>39</v>
      </c>
      <c r="P185" s="27">
        <v>0.1</v>
      </c>
      <c r="Q185" s="28"/>
      <c r="R185" s="28" t="s">
        <v>752</v>
      </c>
      <c r="S185" s="7" t="s">
        <v>127</v>
      </c>
      <c r="T185" s="7" t="s">
        <v>753</v>
      </c>
      <c r="U185" s="7" t="s">
        <v>20</v>
      </c>
      <c r="V185" s="24" t="e">
        <f t="shared" ca="1" si="2"/>
        <v>#NAME?</v>
      </c>
      <c r="W185" s="7"/>
      <c r="X185" s="7"/>
      <c r="Y185" s="29" t="s">
        <v>129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754</v>
      </c>
      <c r="C186" s="39" t="s">
        <v>755</v>
      </c>
      <c r="D186" s="7" t="s">
        <v>55</v>
      </c>
      <c r="E186" s="7" t="s">
        <v>20</v>
      </c>
      <c r="F186" s="7" t="s">
        <v>325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127</v>
      </c>
      <c r="T186" s="7" t="s">
        <v>756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129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757</v>
      </c>
      <c r="C187" s="34" t="s">
        <v>758</v>
      </c>
      <c r="D187" s="7" t="s">
        <v>46</v>
      </c>
      <c r="E187" s="7" t="s">
        <v>20</v>
      </c>
      <c r="F187" s="7" t="s">
        <v>477</v>
      </c>
      <c r="G187" s="7" t="e">
        <f t="shared" ca="1" si="0"/>
        <v>#NAME?</v>
      </c>
      <c r="H187" s="24" t="s">
        <v>125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692</v>
      </c>
      <c r="S187" s="7" t="s">
        <v>127</v>
      </c>
      <c r="T187" s="7" t="s">
        <v>759</v>
      </c>
      <c r="U187" s="7" t="s">
        <v>20</v>
      </c>
      <c r="V187" s="24" t="e">
        <f t="shared" ca="1" si="2"/>
        <v>#NAME?</v>
      </c>
      <c r="W187" s="7"/>
      <c r="X187" s="7"/>
      <c r="Y187" s="29" t="s">
        <v>129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760</v>
      </c>
      <c r="C188" s="4" t="s">
        <v>761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134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127</v>
      </c>
      <c r="T188" s="7" t="s">
        <v>762</v>
      </c>
      <c r="U188" s="7" t="s">
        <v>20</v>
      </c>
      <c r="V188" s="24" t="e">
        <f t="shared" ca="1" si="2"/>
        <v>#NAME?</v>
      </c>
      <c r="W188" s="7"/>
      <c r="X188" s="7"/>
      <c r="Y188" s="29" t="s">
        <v>129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763</v>
      </c>
      <c r="C189" s="4" t="s">
        <v>764</v>
      </c>
      <c r="D189" s="7" t="s">
        <v>132</v>
      </c>
      <c r="E189" s="7" t="s">
        <v>66</v>
      </c>
      <c r="F189" s="7" t="s">
        <v>133</v>
      </c>
      <c r="G189" s="7" t="e">
        <f t="shared" ca="1" si="0"/>
        <v>#NAME?</v>
      </c>
      <c r="H189" s="24" t="s">
        <v>134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127</v>
      </c>
      <c r="T189" s="7" t="s">
        <v>765</v>
      </c>
      <c r="U189" s="7" t="s">
        <v>41</v>
      </c>
      <c r="V189" s="24" t="e">
        <f t="shared" ca="1" si="2"/>
        <v>#NAME?</v>
      </c>
      <c r="W189" s="7"/>
      <c r="X189" s="7" t="s">
        <v>137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766</v>
      </c>
      <c r="C190" s="4" t="s">
        <v>767</v>
      </c>
      <c r="D190" s="7" t="s">
        <v>19</v>
      </c>
      <c r="E190" s="7" t="s">
        <v>66</v>
      </c>
      <c r="F190" s="7" t="s">
        <v>144</v>
      </c>
      <c r="G190" s="7" t="e">
        <f t="shared" ca="1" si="0"/>
        <v>#NAME?</v>
      </c>
      <c r="H190" s="24" t="s">
        <v>145</v>
      </c>
      <c r="I190" s="24" t="s">
        <v>146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127</v>
      </c>
      <c r="T190" s="7" t="s">
        <v>768</v>
      </c>
      <c r="U190" s="7" t="s">
        <v>66</v>
      </c>
      <c r="V190" s="24" t="e">
        <f t="shared" ca="1" si="2"/>
        <v>#NAME?</v>
      </c>
      <c r="W190" s="7"/>
      <c r="X190" s="7"/>
      <c r="Y190" s="29" t="s">
        <v>129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769</v>
      </c>
      <c r="C191" s="4" t="s">
        <v>770</v>
      </c>
      <c r="D191" s="7" t="s">
        <v>46</v>
      </c>
      <c r="E191" s="7" t="s">
        <v>20</v>
      </c>
      <c r="F191" s="7" t="s">
        <v>771</v>
      </c>
      <c r="G191" s="7" t="e">
        <f t="shared" ca="1" si="0"/>
        <v>#NAME?</v>
      </c>
      <c r="H191" s="24" t="s">
        <v>145</v>
      </c>
      <c r="I191" s="24" t="s">
        <v>146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127</v>
      </c>
      <c r="T191" s="7" t="s">
        <v>772</v>
      </c>
      <c r="U191" s="7" t="s">
        <v>20</v>
      </c>
      <c r="V191" s="24" t="e">
        <f t="shared" ca="1" si="2"/>
        <v>#NAME?</v>
      </c>
      <c r="W191" s="7"/>
      <c r="X191" s="7"/>
      <c r="Y191" s="29" t="s">
        <v>240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773</v>
      </c>
      <c r="C192" s="4" t="s">
        <v>774</v>
      </c>
      <c r="D192" s="7" t="s">
        <v>46</v>
      </c>
      <c r="E192" s="7" t="s">
        <v>20</v>
      </c>
      <c r="F192" s="7" t="s">
        <v>773</v>
      </c>
      <c r="G192" s="7" t="e">
        <f t="shared" ca="1" si="0"/>
        <v>#NAME?</v>
      </c>
      <c r="H192" s="24" t="s">
        <v>145</v>
      </c>
      <c r="I192" s="24" t="s">
        <v>146</v>
      </c>
      <c r="J192" s="7" t="str">
        <f t="shared" si="11"/>
        <v>Não</v>
      </c>
      <c r="K192" s="25">
        <v>45000</v>
      </c>
      <c r="L192" s="7"/>
      <c r="M192" s="7" t="s">
        <v>333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127</v>
      </c>
      <c r="T192" s="7" t="s">
        <v>775</v>
      </c>
      <c r="U192" s="7" t="s">
        <v>20</v>
      </c>
      <c r="V192" s="24" t="e">
        <f t="shared" ca="1" si="2"/>
        <v>#NAME?</v>
      </c>
      <c r="W192" s="7"/>
      <c r="X192" s="7"/>
      <c r="Y192" s="29" t="s">
        <v>129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776</v>
      </c>
      <c r="C193" s="4" t="s">
        <v>777</v>
      </c>
      <c r="D193" s="7" t="s">
        <v>19</v>
      </c>
      <c r="E193" s="7" t="s">
        <v>20</v>
      </c>
      <c r="F193" s="7" t="s">
        <v>360</v>
      </c>
      <c r="G193" s="7" t="e">
        <f t="shared" ca="1" si="0"/>
        <v>#NAME?</v>
      </c>
      <c r="H193" s="24" t="s">
        <v>134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185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127</v>
      </c>
      <c r="T193" s="7" t="s">
        <v>778</v>
      </c>
      <c r="U193" s="7" t="s">
        <v>20</v>
      </c>
      <c r="V193" s="24" t="e">
        <f t="shared" ca="1" si="2"/>
        <v>#NAME?</v>
      </c>
      <c r="W193" s="7"/>
      <c r="X193" s="7"/>
      <c r="Y193" s="29" t="s">
        <v>240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779</v>
      </c>
      <c r="C194" s="4" t="s">
        <v>780</v>
      </c>
      <c r="D194" s="7" t="s">
        <v>19</v>
      </c>
      <c r="E194" s="7" t="s">
        <v>20</v>
      </c>
      <c r="F194" s="7" t="s">
        <v>184</v>
      </c>
      <c r="G194" s="7" t="e">
        <f t="shared" ca="1" si="0"/>
        <v>#NAME?</v>
      </c>
      <c r="H194" s="24" t="s">
        <v>145</v>
      </c>
      <c r="I194" s="24" t="s">
        <v>146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781</v>
      </c>
      <c r="S194" s="7" t="s">
        <v>127</v>
      </c>
      <c r="T194" s="7" t="s">
        <v>782</v>
      </c>
      <c r="U194" s="7" t="s">
        <v>20</v>
      </c>
      <c r="V194" s="24" t="e">
        <f t="shared" ca="1" si="2"/>
        <v>#NAME?</v>
      </c>
      <c r="W194" s="7"/>
      <c r="X194" s="7"/>
      <c r="Y194" s="29" t="s">
        <v>129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783</v>
      </c>
      <c r="C195" s="4" t="s">
        <v>784</v>
      </c>
      <c r="D195" s="7" t="s">
        <v>46</v>
      </c>
      <c r="E195" s="7" t="s">
        <v>20</v>
      </c>
      <c r="F195" s="7" t="s">
        <v>785</v>
      </c>
      <c r="G195" s="7" t="e">
        <f t="shared" ca="1" si="0"/>
        <v>#NAME?</v>
      </c>
      <c r="H195" s="24" t="s">
        <v>134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127</v>
      </c>
      <c r="T195" s="7" t="s">
        <v>786</v>
      </c>
      <c r="U195" s="7" t="s">
        <v>20</v>
      </c>
      <c r="V195" s="24" t="e">
        <f t="shared" ca="1" si="2"/>
        <v>#NAME?</v>
      </c>
      <c r="W195" s="7"/>
      <c r="X195" s="7"/>
      <c r="Y195" s="29" t="s">
        <v>129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783</v>
      </c>
      <c r="C196" s="4" t="s">
        <v>787</v>
      </c>
      <c r="D196" s="7" t="s">
        <v>46</v>
      </c>
      <c r="E196" s="7" t="s">
        <v>20</v>
      </c>
      <c r="F196" s="7" t="s">
        <v>785</v>
      </c>
      <c r="G196" s="7" t="e">
        <f t="shared" ca="1" si="0"/>
        <v>#NAME?</v>
      </c>
      <c r="H196" s="24" t="s">
        <v>134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788</v>
      </c>
      <c r="S196" s="7" t="s">
        <v>127</v>
      </c>
      <c r="T196" s="7" t="s">
        <v>786</v>
      </c>
      <c r="U196" s="7" t="s">
        <v>20</v>
      </c>
      <c r="V196" s="24" t="e">
        <f t="shared" ca="1" si="2"/>
        <v>#NAME?</v>
      </c>
      <c r="W196" s="7"/>
      <c r="X196" s="7"/>
      <c r="Y196" s="29" t="s">
        <v>129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789</v>
      </c>
      <c r="C197" s="4" t="s">
        <v>790</v>
      </c>
      <c r="D197" s="7" t="s">
        <v>19</v>
      </c>
      <c r="E197" s="7" t="s">
        <v>20</v>
      </c>
      <c r="F197" s="7" t="s">
        <v>791</v>
      </c>
      <c r="G197" s="7" t="e">
        <f t="shared" ca="1" si="0"/>
        <v>#NAME?</v>
      </c>
      <c r="H197" s="24" t="s">
        <v>134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127</v>
      </c>
      <c r="T197" s="7" t="s">
        <v>792</v>
      </c>
      <c r="U197" s="7" t="s">
        <v>793</v>
      </c>
      <c r="V197" s="24" t="e">
        <f t="shared" ca="1" si="2"/>
        <v>#NAME?</v>
      </c>
      <c r="W197" s="7"/>
      <c r="X197" s="7"/>
      <c r="Y197" s="29" t="s">
        <v>129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794</v>
      </c>
      <c r="C198" s="4" t="s">
        <v>795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145</v>
      </c>
      <c r="I198" s="24" t="s">
        <v>146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127</v>
      </c>
      <c r="T198" s="7" t="s">
        <v>796</v>
      </c>
      <c r="U198" s="7" t="s">
        <v>20</v>
      </c>
      <c r="V198" s="24" t="e">
        <f t="shared" ca="1" si="2"/>
        <v>#NAME?</v>
      </c>
      <c r="W198" s="7"/>
      <c r="X198" s="7"/>
      <c r="Y198" s="29" t="s">
        <v>240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797</v>
      </c>
      <c r="C199" s="4" t="s">
        <v>798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145</v>
      </c>
      <c r="I199" s="24" t="s">
        <v>146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127</v>
      </c>
      <c r="T199" s="7" t="s">
        <v>796</v>
      </c>
      <c r="U199" s="7" t="s">
        <v>20</v>
      </c>
      <c r="V199" s="24" t="e">
        <f t="shared" ca="1" si="2"/>
        <v>#NAME?</v>
      </c>
      <c r="W199" s="7"/>
      <c r="X199" s="7"/>
      <c r="Y199" s="29" t="s">
        <v>240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799</v>
      </c>
      <c r="C200" s="4" t="s">
        <v>800</v>
      </c>
      <c r="D200" s="7" t="s">
        <v>19</v>
      </c>
      <c r="E200" s="7" t="s">
        <v>35</v>
      </c>
      <c r="F200" s="7" t="s">
        <v>199</v>
      </c>
      <c r="G200" s="7" t="e">
        <f t="shared" ca="1" si="0"/>
        <v>#NAME?</v>
      </c>
      <c r="H200" s="24" t="s">
        <v>134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127</v>
      </c>
      <c r="T200" s="7" t="s">
        <v>801</v>
      </c>
      <c r="U200" s="7" t="s">
        <v>202</v>
      </c>
      <c r="V200" s="24" t="e">
        <f t="shared" ca="1" si="2"/>
        <v>#NAME?</v>
      </c>
      <c r="W200" s="7"/>
      <c r="X200" s="7"/>
      <c r="Y200" s="29" t="s">
        <v>129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802</v>
      </c>
      <c r="C201" s="4" t="s">
        <v>803</v>
      </c>
      <c r="D201" s="7" t="s">
        <v>19</v>
      </c>
      <c r="E201" s="7" t="s">
        <v>20</v>
      </c>
      <c r="F201" s="7" t="s">
        <v>791</v>
      </c>
      <c r="G201" s="7" t="e">
        <f t="shared" ca="1" si="0"/>
        <v>#NAME?</v>
      </c>
      <c r="H201" s="24" t="s">
        <v>134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185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127</v>
      </c>
      <c r="T201" s="7" t="s">
        <v>804</v>
      </c>
      <c r="U201" s="7" t="s">
        <v>20</v>
      </c>
      <c r="V201" s="24" t="e">
        <f t="shared" ca="1" si="2"/>
        <v>#NAME?</v>
      </c>
      <c r="W201" s="7"/>
      <c r="X201" s="7"/>
      <c r="Y201" s="29" t="s">
        <v>129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805</v>
      </c>
      <c r="C202" s="44" t="s">
        <v>806</v>
      </c>
      <c r="D202" s="7" t="s">
        <v>19</v>
      </c>
      <c r="E202" s="7" t="s">
        <v>35</v>
      </c>
      <c r="F202" s="7" t="s">
        <v>250</v>
      </c>
      <c r="G202" s="7" t="e">
        <f t="shared" ca="1" si="0"/>
        <v>#NAME?</v>
      </c>
      <c r="H202" s="24" t="s">
        <v>145</v>
      </c>
      <c r="I202" s="24" t="s">
        <v>146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127</v>
      </c>
      <c r="T202" s="7" t="s">
        <v>807</v>
      </c>
      <c r="U202" s="7" t="s">
        <v>202</v>
      </c>
      <c r="V202" s="24" t="e">
        <f t="shared" ca="1" si="2"/>
        <v>#NAME?</v>
      </c>
      <c r="W202" s="7"/>
      <c r="X202" s="7"/>
      <c r="Y202" s="29" t="s">
        <v>129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808</v>
      </c>
      <c r="C203" s="4" t="s">
        <v>809</v>
      </c>
      <c r="D203" s="7" t="s">
        <v>46</v>
      </c>
      <c r="E203" s="7" t="s">
        <v>20</v>
      </c>
      <c r="F203" s="7" t="s">
        <v>124</v>
      </c>
      <c r="G203" s="7" t="e">
        <f t="shared" ca="1" si="0"/>
        <v>#NAME?</v>
      </c>
      <c r="H203" s="24" t="s">
        <v>125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200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127</v>
      </c>
      <c r="T203" s="7" t="s">
        <v>810</v>
      </c>
      <c r="U203" s="7" t="s">
        <v>20</v>
      </c>
      <c r="V203" s="24" t="e">
        <f t="shared" ca="1" si="2"/>
        <v>#NAME?</v>
      </c>
      <c r="W203" s="7"/>
      <c r="X203" s="7"/>
      <c r="Y203" s="29" t="s">
        <v>129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811</v>
      </c>
      <c r="C204" s="44" t="s">
        <v>812</v>
      </c>
      <c r="D204" s="7" t="s">
        <v>19</v>
      </c>
      <c r="E204" s="7" t="s">
        <v>66</v>
      </c>
      <c r="F204" s="7" t="s">
        <v>67</v>
      </c>
      <c r="G204" s="7" t="e">
        <f t="shared" ca="1" si="0"/>
        <v>#NAME?</v>
      </c>
      <c r="H204" s="24" t="s">
        <v>134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813</v>
      </c>
      <c r="R204" s="28"/>
      <c r="S204" s="7" t="s">
        <v>127</v>
      </c>
      <c r="T204" s="7" t="s">
        <v>814</v>
      </c>
      <c r="U204" s="7" t="s">
        <v>66</v>
      </c>
      <c r="V204" s="24" t="e">
        <f t="shared" ca="1" si="2"/>
        <v>#NAME?</v>
      </c>
      <c r="W204" s="7"/>
      <c r="X204" s="7"/>
      <c r="Y204" s="29" t="s">
        <v>129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815</v>
      </c>
      <c r="C205" s="44" t="s">
        <v>816</v>
      </c>
      <c r="D205" s="7" t="s">
        <v>19</v>
      </c>
      <c r="E205" s="7" t="s">
        <v>66</v>
      </c>
      <c r="F205" s="7" t="s">
        <v>67</v>
      </c>
      <c r="G205" s="7" t="e">
        <f t="shared" ca="1" si="0"/>
        <v>#NAME?</v>
      </c>
      <c r="H205" s="24" t="s">
        <v>134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127</v>
      </c>
      <c r="T205" s="7" t="s">
        <v>817</v>
      </c>
      <c r="U205" s="7" t="s">
        <v>66</v>
      </c>
      <c r="V205" s="24" t="e">
        <f t="shared" ca="1" si="2"/>
        <v>#NAME?</v>
      </c>
      <c r="W205" s="7"/>
      <c r="X205" s="7" t="s">
        <v>42</v>
      </c>
      <c r="Y205" s="29" t="s">
        <v>129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818</v>
      </c>
      <c r="C206" s="4" t="s">
        <v>819</v>
      </c>
      <c r="D206" s="7" t="s">
        <v>46</v>
      </c>
      <c r="E206" s="7" t="s">
        <v>20</v>
      </c>
      <c r="F206" s="7" t="s">
        <v>261</v>
      </c>
      <c r="G206" s="7" t="e">
        <f t="shared" ca="1" si="0"/>
        <v>#NAME?</v>
      </c>
      <c r="H206" s="24" t="s">
        <v>134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127</v>
      </c>
      <c r="T206" s="7" t="s">
        <v>820</v>
      </c>
      <c r="U206" s="7" t="s">
        <v>20</v>
      </c>
      <c r="V206" s="24" t="e">
        <f t="shared" ca="1" si="2"/>
        <v>#NAME?</v>
      </c>
      <c r="W206" s="7"/>
      <c r="X206" s="7"/>
      <c r="Y206" s="29" t="s">
        <v>129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821</v>
      </c>
      <c r="C207" s="4" t="s">
        <v>822</v>
      </c>
      <c r="D207" s="7" t="s">
        <v>19</v>
      </c>
      <c r="E207" s="7" t="s">
        <v>66</v>
      </c>
      <c r="F207" s="7" t="s">
        <v>67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823</v>
      </c>
      <c r="R207" s="28"/>
      <c r="S207" s="7" t="s">
        <v>127</v>
      </c>
      <c r="T207" s="7" t="s">
        <v>824</v>
      </c>
      <c r="U207" s="7" t="s">
        <v>66</v>
      </c>
      <c r="V207" s="24" t="e">
        <f t="shared" ca="1" si="2"/>
        <v>#NAME?</v>
      </c>
      <c r="W207" s="7"/>
      <c r="X207" s="7"/>
      <c r="Y207" s="29" t="s">
        <v>129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825</v>
      </c>
      <c r="C208" s="4" t="s">
        <v>826</v>
      </c>
      <c r="D208" s="7" t="s">
        <v>46</v>
      </c>
      <c r="E208" s="7" t="s">
        <v>20</v>
      </c>
      <c r="F208" s="7" t="s">
        <v>124</v>
      </c>
      <c r="G208" s="7" t="e">
        <f t="shared" ca="1" si="0"/>
        <v>#NAME?</v>
      </c>
      <c r="H208" s="24" t="s">
        <v>125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127</v>
      </c>
      <c r="T208" s="7" t="s">
        <v>827</v>
      </c>
      <c r="U208" s="7" t="s">
        <v>20</v>
      </c>
      <c r="V208" s="24" t="e">
        <f t="shared" ca="1" si="2"/>
        <v>#NAME?</v>
      </c>
      <c r="W208" s="7"/>
      <c r="X208" s="7"/>
      <c r="Y208" s="29" t="s">
        <v>240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828</v>
      </c>
      <c r="C209" s="4" t="s">
        <v>829</v>
      </c>
      <c r="D209" s="7" t="s">
        <v>19</v>
      </c>
      <c r="E209" s="7" t="s">
        <v>35</v>
      </c>
      <c r="F209" s="7" t="s">
        <v>199</v>
      </c>
      <c r="G209" s="7" t="e">
        <f t="shared" ca="1" si="0"/>
        <v>#NAME?</v>
      </c>
      <c r="H209" s="24" t="s">
        <v>134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830</v>
      </c>
      <c r="R209" s="28"/>
      <c r="S209" s="7" t="s">
        <v>127</v>
      </c>
      <c r="T209" s="7" t="s">
        <v>831</v>
      </c>
      <c r="U209" s="7" t="s">
        <v>202</v>
      </c>
      <c r="V209" s="24" t="e">
        <f t="shared" ca="1" si="2"/>
        <v>#NAME?</v>
      </c>
      <c r="W209" s="7"/>
      <c r="X209" s="7"/>
      <c r="Y209" s="29" t="s">
        <v>129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832</v>
      </c>
      <c r="C210" s="60" t="s">
        <v>833</v>
      </c>
      <c r="D210" s="7" t="s">
        <v>19</v>
      </c>
      <c r="E210" s="7" t="s">
        <v>20</v>
      </c>
      <c r="F210" s="7" t="s">
        <v>195</v>
      </c>
      <c r="G210" s="7" t="e">
        <f t="shared" ca="1" si="0"/>
        <v>#NAME?</v>
      </c>
      <c r="H210" s="24" t="s">
        <v>134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127</v>
      </c>
      <c r="T210" s="7" t="s">
        <v>834</v>
      </c>
      <c r="U210" s="7" t="s">
        <v>20</v>
      </c>
      <c r="V210" s="24" t="e">
        <f t="shared" ca="1" si="2"/>
        <v>#NAME?</v>
      </c>
      <c r="W210" s="7"/>
      <c r="X210" s="7"/>
      <c r="Y210" s="29" t="s">
        <v>129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835</v>
      </c>
      <c r="C211" s="4" t="s">
        <v>836</v>
      </c>
      <c r="D211" s="7" t="s">
        <v>19</v>
      </c>
      <c r="E211" s="7" t="s">
        <v>20</v>
      </c>
      <c r="F211" s="7" t="s">
        <v>195</v>
      </c>
      <c r="G211" s="7" t="e">
        <f t="shared" ca="1" si="0"/>
        <v>#NAME?</v>
      </c>
      <c r="H211" s="24" t="s">
        <v>134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127</v>
      </c>
      <c r="T211" s="7" t="s">
        <v>834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129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837</v>
      </c>
      <c r="C212" s="4" t="s">
        <v>838</v>
      </c>
      <c r="D212" s="7" t="s">
        <v>19</v>
      </c>
      <c r="E212" s="7" t="s">
        <v>66</v>
      </c>
      <c r="F212" s="7" t="s">
        <v>144</v>
      </c>
      <c r="G212" s="7" t="e">
        <f t="shared" ca="1" si="0"/>
        <v>#NAME?</v>
      </c>
      <c r="H212" s="24" t="s">
        <v>134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127</v>
      </c>
      <c r="T212" s="7" t="s">
        <v>839</v>
      </c>
      <c r="U212" s="7" t="s">
        <v>66</v>
      </c>
      <c r="V212" s="24" t="e">
        <f t="shared" ca="1" si="2"/>
        <v>#NAME?</v>
      </c>
      <c r="W212" s="7"/>
      <c r="X212" s="7"/>
      <c r="Y212" s="29" t="s">
        <v>129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840</v>
      </c>
      <c r="C213" s="4" t="s">
        <v>841</v>
      </c>
      <c r="D213" s="7" t="s">
        <v>19</v>
      </c>
      <c r="E213" s="7" t="s">
        <v>35</v>
      </c>
      <c r="F213" s="7" t="s">
        <v>199</v>
      </c>
      <c r="G213" s="7" t="e">
        <f t="shared" ca="1" si="0"/>
        <v>#NAME?</v>
      </c>
      <c r="H213" s="24" t="s">
        <v>134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127</v>
      </c>
      <c r="T213" s="7" t="s">
        <v>842</v>
      </c>
      <c r="U213" s="7" t="s">
        <v>202</v>
      </c>
      <c r="V213" s="24" t="e">
        <f t="shared" ca="1" si="2"/>
        <v>#NAME?</v>
      </c>
      <c r="W213" s="7"/>
      <c r="X213" s="7"/>
      <c r="Y213" s="29" t="s">
        <v>129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840</v>
      </c>
      <c r="C214" s="4" t="s">
        <v>843</v>
      </c>
      <c r="D214" s="7" t="s">
        <v>19</v>
      </c>
      <c r="E214" s="7" t="s">
        <v>35</v>
      </c>
      <c r="F214" s="7" t="s">
        <v>199</v>
      </c>
      <c r="G214" s="7" t="e">
        <f t="shared" ca="1" si="0"/>
        <v>#NAME?</v>
      </c>
      <c r="H214" s="24" t="s">
        <v>134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242</v>
      </c>
      <c r="N214" s="26">
        <v>2.5000000000000001E-2</v>
      </c>
      <c r="O214" s="7" t="s">
        <v>167</v>
      </c>
      <c r="P214" s="27">
        <v>0.2</v>
      </c>
      <c r="Q214" s="28"/>
      <c r="R214" s="28"/>
      <c r="S214" s="7" t="s">
        <v>127</v>
      </c>
      <c r="T214" s="7" t="s">
        <v>842</v>
      </c>
      <c r="U214" s="7" t="s">
        <v>202</v>
      </c>
      <c r="V214" s="24" t="e">
        <f t="shared" ca="1" si="2"/>
        <v>#NAME?</v>
      </c>
      <c r="W214" s="7"/>
      <c r="X214" s="7"/>
      <c r="Y214" s="29" t="s">
        <v>129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844</v>
      </c>
      <c r="C215" s="4" t="s">
        <v>845</v>
      </c>
      <c r="D215" s="7" t="s">
        <v>19</v>
      </c>
      <c r="E215" s="7" t="s">
        <v>66</v>
      </c>
      <c r="F215" s="7" t="s">
        <v>144</v>
      </c>
      <c r="G215" s="7" t="e">
        <f t="shared" ca="1" si="0"/>
        <v>#NAME?</v>
      </c>
      <c r="H215" s="24" t="s">
        <v>145</v>
      </c>
      <c r="I215" s="24" t="s">
        <v>146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127</v>
      </c>
      <c r="T215" s="7" t="s">
        <v>846</v>
      </c>
      <c r="U215" s="7" t="s">
        <v>66</v>
      </c>
      <c r="V215" s="24" t="e">
        <f t="shared" ca="1" si="2"/>
        <v>#NAME?</v>
      </c>
      <c r="W215" s="7"/>
      <c r="X215" s="7"/>
      <c r="Y215" s="29" t="s">
        <v>129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847</v>
      </c>
      <c r="C216" s="4" t="s">
        <v>848</v>
      </c>
      <c r="D216" s="7" t="s">
        <v>19</v>
      </c>
      <c r="E216" s="7" t="s">
        <v>20</v>
      </c>
      <c r="F216" s="7" t="s">
        <v>155</v>
      </c>
      <c r="G216" s="7" t="e">
        <f t="shared" ca="1" si="0"/>
        <v>#NAME?</v>
      </c>
      <c r="H216" s="24" t="s">
        <v>134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171</v>
      </c>
      <c r="T216" s="7" t="s">
        <v>849</v>
      </c>
      <c r="U216" s="7" t="s">
        <v>20</v>
      </c>
      <c r="V216" s="24" t="e">
        <f t="shared" ca="1" si="2"/>
        <v>#NAME?</v>
      </c>
      <c r="W216" s="7"/>
      <c r="X216" s="7"/>
      <c r="Y216" s="29" t="s">
        <v>129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850</v>
      </c>
      <c r="C217" s="4" t="s">
        <v>851</v>
      </c>
      <c r="D217" s="7" t="s">
        <v>19</v>
      </c>
      <c r="E217" s="7" t="s">
        <v>35</v>
      </c>
      <c r="F217" s="7" t="s">
        <v>199</v>
      </c>
      <c r="G217" s="7" t="e">
        <f t="shared" ca="1" si="0"/>
        <v>#NAME?</v>
      </c>
      <c r="H217" s="24" t="s">
        <v>145</v>
      </c>
      <c r="I217" s="24" t="s">
        <v>229</v>
      </c>
      <c r="J217" s="7" t="str">
        <f t="shared" si="11"/>
        <v>Não</v>
      </c>
      <c r="K217" s="25">
        <v>45090</v>
      </c>
      <c r="L217" s="25"/>
      <c r="M217" s="7" t="s">
        <v>242</v>
      </c>
      <c r="N217" s="26">
        <v>2.5000000000000001E-2</v>
      </c>
      <c r="O217" s="7" t="s">
        <v>167</v>
      </c>
      <c r="P217" s="27">
        <v>0.2</v>
      </c>
      <c r="Q217" s="28"/>
      <c r="R217" s="28"/>
      <c r="S217" s="7" t="s">
        <v>127</v>
      </c>
      <c r="T217" s="7" t="s">
        <v>852</v>
      </c>
      <c r="U217" s="7" t="s">
        <v>202</v>
      </c>
      <c r="V217" s="24" t="e">
        <f t="shared" ca="1" si="2"/>
        <v>#NAME?</v>
      </c>
      <c r="W217" s="7"/>
      <c r="X217" s="7"/>
      <c r="Y217" s="29" t="s">
        <v>129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850</v>
      </c>
      <c r="C218" s="4" t="s">
        <v>853</v>
      </c>
      <c r="D218" s="7" t="s">
        <v>19</v>
      </c>
      <c r="E218" s="7" t="s">
        <v>35</v>
      </c>
      <c r="F218" s="7" t="s">
        <v>199</v>
      </c>
      <c r="G218" s="7" t="e">
        <f t="shared" ca="1" si="0"/>
        <v>#NAME?</v>
      </c>
      <c r="H218" s="24" t="s">
        <v>145</v>
      </c>
      <c r="I218" s="24" t="s">
        <v>229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854</v>
      </c>
      <c r="R218" s="28"/>
      <c r="S218" s="7" t="s">
        <v>127</v>
      </c>
      <c r="T218" s="7" t="s">
        <v>852</v>
      </c>
      <c r="U218" s="7" t="s">
        <v>202</v>
      </c>
      <c r="V218" s="24" t="e">
        <f t="shared" ca="1" si="2"/>
        <v>#NAME?</v>
      </c>
      <c r="W218" s="7"/>
      <c r="X218" s="7"/>
      <c r="Y218" s="29" t="s">
        <v>129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855</v>
      </c>
      <c r="C219" s="4" t="s">
        <v>856</v>
      </c>
      <c r="D219" s="7" t="s">
        <v>19</v>
      </c>
      <c r="E219" s="7" t="s">
        <v>35</v>
      </c>
      <c r="F219" s="7" t="s">
        <v>250</v>
      </c>
      <c r="G219" s="7" t="e">
        <f t="shared" ca="1" si="0"/>
        <v>#NAME?</v>
      </c>
      <c r="H219" s="24" t="s">
        <v>134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857</v>
      </c>
      <c r="S219" s="7" t="s">
        <v>127</v>
      </c>
      <c r="T219" s="6" t="s">
        <v>858</v>
      </c>
      <c r="U219" s="7" t="s">
        <v>202</v>
      </c>
      <c r="V219" s="24" t="e">
        <f t="shared" ca="1" si="2"/>
        <v>#NAME?</v>
      </c>
      <c r="W219" s="7"/>
      <c r="X219" s="7" t="s">
        <v>42</v>
      </c>
      <c r="Y219" s="29" t="s">
        <v>129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859</v>
      </c>
      <c r="C220" s="89" t="s">
        <v>860</v>
      </c>
      <c r="D220" s="7" t="s">
        <v>19</v>
      </c>
      <c r="E220" s="7" t="s">
        <v>20</v>
      </c>
      <c r="F220" s="7" t="s">
        <v>195</v>
      </c>
      <c r="G220" s="7" t="e">
        <f t="shared" ca="1" si="0"/>
        <v>#NAME?</v>
      </c>
      <c r="H220" s="24" t="s">
        <v>134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127</v>
      </c>
      <c r="T220" s="6" t="s">
        <v>861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129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862</v>
      </c>
      <c r="C221" s="4" t="s">
        <v>863</v>
      </c>
      <c r="D221" s="7" t="s">
        <v>19</v>
      </c>
      <c r="E221" s="7" t="s">
        <v>20</v>
      </c>
      <c r="F221" s="7" t="s">
        <v>184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127</v>
      </c>
      <c r="T221" s="7" t="s">
        <v>864</v>
      </c>
      <c r="U221" s="7" t="s">
        <v>20</v>
      </c>
      <c r="V221" s="24" t="e">
        <f t="shared" ca="1" si="2"/>
        <v>#NAME?</v>
      </c>
      <c r="W221" s="7"/>
      <c r="X221" s="7"/>
      <c r="Y221" s="29" t="s">
        <v>129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865</v>
      </c>
      <c r="C222" s="4" t="s">
        <v>866</v>
      </c>
      <c r="D222" s="7" t="s">
        <v>19</v>
      </c>
      <c r="E222" s="7" t="s">
        <v>35</v>
      </c>
      <c r="F222" s="7" t="s">
        <v>199</v>
      </c>
      <c r="G222" s="7" t="e">
        <f t="shared" ca="1" si="0"/>
        <v>#NAME?</v>
      </c>
      <c r="H222" s="24" t="s">
        <v>125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867</v>
      </c>
      <c r="N222" s="26">
        <v>0.02</v>
      </c>
      <c r="O222" s="7" t="s">
        <v>167</v>
      </c>
      <c r="P222" s="27">
        <v>0.2</v>
      </c>
      <c r="Q222" s="45"/>
      <c r="R222" s="28"/>
      <c r="S222" s="7" t="s">
        <v>127</v>
      </c>
      <c r="T222" s="7" t="s">
        <v>868</v>
      </c>
      <c r="U222" s="7" t="s">
        <v>202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865</v>
      </c>
      <c r="C223" s="4" t="s">
        <v>869</v>
      </c>
      <c r="D223" s="7" t="s">
        <v>19</v>
      </c>
      <c r="E223" s="7" t="s">
        <v>35</v>
      </c>
      <c r="F223" s="7" t="s">
        <v>199</v>
      </c>
      <c r="G223" s="7" t="e">
        <f t="shared" ca="1" si="0"/>
        <v>#NAME?</v>
      </c>
      <c r="H223" s="24" t="s">
        <v>125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127</v>
      </c>
      <c r="T223" s="7" t="s">
        <v>868</v>
      </c>
      <c r="U223" s="7" t="s">
        <v>202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870</v>
      </c>
      <c r="C224" s="46" t="s">
        <v>871</v>
      </c>
      <c r="D224" s="7" t="s">
        <v>19</v>
      </c>
      <c r="E224" s="7" t="s">
        <v>66</v>
      </c>
      <c r="F224" s="7" t="s">
        <v>144</v>
      </c>
      <c r="G224" s="7" t="e">
        <f t="shared" ca="1" si="0"/>
        <v>#NAME?</v>
      </c>
      <c r="H224" s="24" t="s">
        <v>145</v>
      </c>
      <c r="I224" s="24" t="s">
        <v>208</v>
      </c>
      <c r="J224" s="7" t="str">
        <f t="shared" si="11"/>
        <v>Não</v>
      </c>
      <c r="K224" s="25">
        <v>45026</v>
      </c>
      <c r="L224" s="25"/>
      <c r="M224" s="7" t="s">
        <v>872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127</v>
      </c>
      <c r="T224" s="7" t="s">
        <v>873</v>
      </c>
      <c r="U224" s="7" t="s">
        <v>66</v>
      </c>
      <c r="V224" s="24" t="e">
        <f t="shared" ca="1" si="2"/>
        <v>#NAME?</v>
      </c>
      <c r="W224" s="7"/>
      <c r="X224" s="7"/>
      <c r="Y224" s="29" t="s">
        <v>129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874</v>
      </c>
      <c r="C225" s="4" t="s">
        <v>875</v>
      </c>
      <c r="D225" s="7" t="s">
        <v>46</v>
      </c>
      <c r="E225" s="7" t="s">
        <v>20</v>
      </c>
      <c r="F225" s="7" t="s">
        <v>124</v>
      </c>
      <c r="G225" s="7" t="e">
        <f t="shared" ca="1" si="0"/>
        <v>#NAME?</v>
      </c>
      <c r="H225" s="24" t="s">
        <v>125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876</v>
      </c>
      <c r="N225" s="26">
        <v>7.0000000000000001E-3</v>
      </c>
      <c r="O225" s="7" t="s">
        <v>25</v>
      </c>
      <c r="P225" s="27">
        <v>0</v>
      </c>
      <c r="Q225" s="28"/>
      <c r="R225" s="28" t="s">
        <v>692</v>
      </c>
      <c r="S225" s="7" t="s">
        <v>127</v>
      </c>
      <c r="T225" s="7" t="s">
        <v>877</v>
      </c>
      <c r="U225" s="7" t="s">
        <v>878</v>
      </c>
      <c r="V225" s="24" t="e">
        <f t="shared" ca="1" si="2"/>
        <v>#NAME?</v>
      </c>
      <c r="W225" s="7"/>
      <c r="X225" s="7"/>
      <c r="Y225" s="29" t="s">
        <v>129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879</v>
      </c>
      <c r="C226" s="4" t="s">
        <v>880</v>
      </c>
      <c r="D226" s="7" t="s">
        <v>19</v>
      </c>
      <c r="E226" s="7" t="s">
        <v>66</v>
      </c>
      <c r="F226" s="7" t="s">
        <v>316</v>
      </c>
      <c r="G226" s="7" t="e">
        <f t="shared" ca="1" si="0"/>
        <v>#NAME?</v>
      </c>
      <c r="H226" s="24" t="s">
        <v>145</v>
      </c>
      <c r="I226" s="24" t="s">
        <v>190</v>
      </c>
      <c r="J226" s="7" t="s">
        <v>165</v>
      </c>
      <c r="K226" s="25">
        <v>45393</v>
      </c>
      <c r="L226" s="25"/>
      <c r="M226" s="7" t="s">
        <v>587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127</v>
      </c>
      <c r="T226" s="7" t="s">
        <v>881</v>
      </c>
      <c r="U226" s="7" t="s">
        <v>66</v>
      </c>
      <c r="V226" s="24" t="e">
        <f t="shared" ca="1" si="2"/>
        <v>#NAME?</v>
      </c>
      <c r="W226" s="7"/>
      <c r="X226" s="7"/>
      <c r="Y226" s="29" t="s">
        <v>129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879</v>
      </c>
      <c r="C227" s="4" t="s">
        <v>882</v>
      </c>
      <c r="D227" s="7" t="s">
        <v>19</v>
      </c>
      <c r="E227" s="7" t="s">
        <v>66</v>
      </c>
      <c r="F227" s="7" t="s">
        <v>316</v>
      </c>
      <c r="G227" s="7" t="e">
        <f t="shared" ca="1" si="0"/>
        <v>#NAME?</v>
      </c>
      <c r="H227" s="24" t="s">
        <v>134</v>
      </c>
      <c r="I227" s="24" t="s">
        <v>25</v>
      </c>
      <c r="J227" s="7" t="s">
        <v>165</v>
      </c>
      <c r="K227" s="25">
        <v>45427</v>
      </c>
      <c r="L227" s="25"/>
      <c r="M227" s="7" t="s">
        <v>272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127</v>
      </c>
      <c r="T227" s="7" t="s">
        <v>881</v>
      </c>
      <c r="U227" s="7" t="s">
        <v>66</v>
      </c>
      <c r="V227" s="24" t="e">
        <f t="shared" ca="1" si="2"/>
        <v>#NAME?</v>
      </c>
      <c r="W227" s="7"/>
      <c r="X227" s="7"/>
      <c r="Y227" s="29" t="s">
        <v>129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883</v>
      </c>
      <c r="C228" s="91" t="s">
        <v>884</v>
      </c>
      <c r="D228" s="7" t="s">
        <v>19</v>
      </c>
      <c r="E228" s="7" t="s">
        <v>66</v>
      </c>
      <c r="F228" s="7" t="s">
        <v>453</v>
      </c>
      <c r="G228" s="7" t="e">
        <f t="shared" ca="1" si="0"/>
        <v>#NAME?</v>
      </c>
      <c r="H228" s="24" t="s">
        <v>134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454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171</v>
      </c>
      <c r="T228" s="7" t="s">
        <v>885</v>
      </c>
      <c r="U228" s="7" t="s">
        <v>282</v>
      </c>
      <c r="V228" s="24" t="e">
        <f t="shared" ca="1" si="2"/>
        <v>#NAME?</v>
      </c>
      <c r="W228" s="7"/>
      <c r="X228" s="7"/>
      <c r="Y228" s="29" t="s">
        <v>129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886</v>
      </c>
      <c r="C229" s="4" t="s">
        <v>887</v>
      </c>
      <c r="D229" s="7" t="s">
        <v>19</v>
      </c>
      <c r="E229" s="7" t="s">
        <v>66</v>
      </c>
      <c r="F229" s="7" t="s">
        <v>144</v>
      </c>
      <c r="G229" s="7" t="e">
        <f t="shared" ca="1" si="0"/>
        <v>#NAME?</v>
      </c>
      <c r="H229" s="24" t="s">
        <v>134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171</v>
      </c>
      <c r="T229" s="7" t="s">
        <v>888</v>
      </c>
      <c r="U229" s="7" t="s">
        <v>66</v>
      </c>
      <c r="V229" s="24" t="e">
        <f t="shared" ca="1" si="2"/>
        <v>#NAME?</v>
      </c>
      <c r="W229" s="7"/>
      <c r="X229" s="7"/>
      <c r="Y229" s="29" t="s">
        <v>240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889</v>
      </c>
      <c r="C230" s="4" t="s">
        <v>890</v>
      </c>
      <c r="D230" s="7" t="s">
        <v>19</v>
      </c>
      <c r="E230" s="7" t="s">
        <v>66</v>
      </c>
      <c r="F230" s="7" t="s">
        <v>265</v>
      </c>
      <c r="G230" s="7" t="e">
        <f t="shared" ca="1" si="0"/>
        <v>#NAME?</v>
      </c>
      <c r="H230" s="24" t="s">
        <v>134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127</v>
      </c>
      <c r="T230" s="7" t="s">
        <v>891</v>
      </c>
      <c r="U230" s="7" t="s">
        <v>66</v>
      </c>
      <c r="V230" s="24" t="e">
        <f t="shared" ca="1" si="2"/>
        <v>#NAME?</v>
      </c>
      <c r="W230" s="7"/>
      <c r="X230" s="7"/>
      <c r="Y230" s="29" t="s">
        <v>240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892</v>
      </c>
      <c r="C231" s="4" t="s">
        <v>893</v>
      </c>
      <c r="D231" s="7" t="s">
        <v>46</v>
      </c>
      <c r="E231" s="7" t="s">
        <v>20</v>
      </c>
      <c r="F231" s="7" t="s">
        <v>189</v>
      </c>
      <c r="G231" s="7" t="e">
        <f t="shared" ca="1" si="0"/>
        <v>#NAME?</v>
      </c>
      <c r="H231" s="24" t="s">
        <v>145</v>
      </c>
      <c r="I231" s="24" t="s">
        <v>190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127</v>
      </c>
      <c r="T231" s="7" t="s">
        <v>894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895</v>
      </c>
      <c r="C232" s="4" t="s">
        <v>896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145</v>
      </c>
      <c r="I232" s="24" t="s">
        <v>897</v>
      </c>
      <c r="J232" s="7" t="str">
        <f t="shared" si="12"/>
        <v>Não</v>
      </c>
      <c r="K232" s="25">
        <v>44977</v>
      </c>
      <c r="L232" s="7"/>
      <c r="M232" s="7" t="s">
        <v>242</v>
      </c>
      <c r="N232" s="26">
        <v>2.5000000000000001E-2</v>
      </c>
      <c r="O232" s="7" t="s">
        <v>167</v>
      </c>
      <c r="P232" s="27">
        <v>0.2</v>
      </c>
      <c r="Q232" s="28"/>
      <c r="R232" s="28"/>
      <c r="S232" s="7" t="s">
        <v>127</v>
      </c>
      <c r="T232" s="7" t="s">
        <v>898</v>
      </c>
      <c r="U232" s="7" t="s">
        <v>20</v>
      </c>
      <c r="V232" s="24" t="e">
        <f t="shared" ca="1" si="2"/>
        <v>#NAME?</v>
      </c>
      <c r="W232" s="7"/>
      <c r="X232" s="7"/>
      <c r="Y232" s="29" t="s">
        <v>129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895</v>
      </c>
      <c r="C233" s="4" t="s">
        <v>899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134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127</v>
      </c>
      <c r="T233" s="7" t="s">
        <v>898</v>
      </c>
      <c r="U233" s="7" t="s">
        <v>20</v>
      </c>
      <c r="V233" s="24" t="e">
        <f t="shared" ca="1" si="2"/>
        <v>#NAME?</v>
      </c>
      <c r="W233" s="7"/>
      <c r="X233" s="7"/>
      <c r="Y233" s="29" t="s">
        <v>129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895</v>
      </c>
      <c r="C234" s="4" t="s">
        <v>900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145</v>
      </c>
      <c r="I234" s="24" t="s">
        <v>190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901</v>
      </c>
      <c r="S234" s="7" t="s">
        <v>127</v>
      </c>
      <c r="T234" s="7" t="s">
        <v>898</v>
      </c>
      <c r="U234" s="7" t="s">
        <v>20</v>
      </c>
      <c r="V234" s="24" t="e">
        <f t="shared" ca="1" si="2"/>
        <v>#NAME?</v>
      </c>
      <c r="W234" s="7"/>
      <c r="X234" s="7"/>
      <c r="Y234" s="29" t="s">
        <v>129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895</v>
      </c>
      <c r="C235" s="4" t="s">
        <v>902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145</v>
      </c>
      <c r="I235" s="24" t="s">
        <v>146</v>
      </c>
      <c r="J235" s="7" t="str">
        <f t="shared" si="12"/>
        <v>Não</v>
      </c>
      <c r="K235" s="25">
        <v>45022</v>
      </c>
      <c r="L235" s="7"/>
      <c r="M235" s="7" t="s">
        <v>484</v>
      </c>
      <c r="N235" s="26">
        <v>2.5000000000000001E-2</v>
      </c>
      <c r="O235" s="7" t="s">
        <v>903</v>
      </c>
      <c r="P235" s="27">
        <v>0.2</v>
      </c>
      <c r="Q235" s="28"/>
      <c r="R235" s="36" t="s">
        <v>904</v>
      </c>
      <c r="S235" s="7" t="s">
        <v>127</v>
      </c>
      <c r="T235" s="7" t="s">
        <v>898</v>
      </c>
      <c r="U235" s="7" t="s">
        <v>20</v>
      </c>
      <c r="V235" s="24" t="e">
        <f t="shared" ca="1" si="2"/>
        <v>#NAME?</v>
      </c>
      <c r="W235" s="7"/>
      <c r="X235" s="7"/>
      <c r="Y235" s="29" t="s">
        <v>129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905</v>
      </c>
      <c r="C236" s="35" t="s">
        <v>906</v>
      </c>
      <c r="D236" s="7" t="s">
        <v>55</v>
      </c>
      <c r="E236" s="7" t="s">
        <v>20</v>
      </c>
      <c r="F236" s="7" t="s">
        <v>374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907</v>
      </c>
      <c r="R236" s="28"/>
      <c r="S236" s="7" t="s">
        <v>127</v>
      </c>
      <c r="T236" s="6" t="s">
        <v>908</v>
      </c>
      <c r="U236" s="7" t="s">
        <v>20</v>
      </c>
      <c r="V236" s="24" t="e">
        <f t="shared" ca="1" si="2"/>
        <v>#NAME?</v>
      </c>
      <c r="W236" s="7"/>
      <c r="X236" s="7"/>
      <c r="Y236" s="29" t="s">
        <v>129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909</v>
      </c>
      <c r="C237" s="35" t="s">
        <v>910</v>
      </c>
      <c r="D237" s="7" t="s">
        <v>19</v>
      </c>
      <c r="E237" s="7" t="s">
        <v>66</v>
      </c>
      <c r="F237" s="7" t="s">
        <v>67</v>
      </c>
      <c r="G237" s="7" t="e">
        <f t="shared" ca="1" si="0"/>
        <v>#NAME?</v>
      </c>
      <c r="H237" s="24" t="s">
        <v>150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127</v>
      </c>
      <c r="T237" s="6" t="s">
        <v>911</v>
      </c>
      <c r="U237" s="7" t="s">
        <v>66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912</v>
      </c>
      <c r="C238" s="4" t="s">
        <v>913</v>
      </c>
      <c r="D238" s="7" t="s">
        <v>46</v>
      </c>
      <c r="E238" s="7" t="s">
        <v>20</v>
      </c>
      <c r="F238" s="7" t="s">
        <v>914</v>
      </c>
      <c r="G238" s="7" t="e">
        <f t="shared" ca="1" si="0"/>
        <v>#NAME?</v>
      </c>
      <c r="H238" s="24" t="s">
        <v>125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185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127</v>
      </c>
      <c r="T238" s="7" t="s">
        <v>915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916</v>
      </c>
      <c r="C239" s="41" t="s">
        <v>917</v>
      </c>
      <c r="D239" s="7" t="s">
        <v>19</v>
      </c>
      <c r="E239" s="7" t="s">
        <v>66</v>
      </c>
      <c r="F239" s="7" t="s">
        <v>144</v>
      </c>
      <c r="G239" s="7" t="e">
        <f t="shared" ca="1" si="0"/>
        <v>#NAME?</v>
      </c>
      <c r="H239" s="24" t="s">
        <v>145</v>
      </c>
      <c r="I239" s="24" t="s">
        <v>146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127</v>
      </c>
      <c r="T239" s="7" t="s">
        <v>918</v>
      </c>
      <c r="U239" s="7" t="s">
        <v>66</v>
      </c>
      <c r="V239" s="24" t="e">
        <f t="shared" ca="1" si="2"/>
        <v>#NAME?</v>
      </c>
      <c r="W239" s="7"/>
      <c r="X239" s="7"/>
      <c r="Y239" s="29" t="s">
        <v>129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919</v>
      </c>
      <c r="C240" s="4" t="s">
        <v>920</v>
      </c>
      <c r="D240" s="7" t="s">
        <v>19</v>
      </c>
      <c r="E240" s="7" t="s">
        <v>66</v>
      </c>
      <c r="F240" s="7" t="s">
        <v>67</v>
      </c>
      <c r="G240" s="7" t="e">
        <f t="shared" ca="1" si="0"/>
        <v>#NAME?</v>
      </c>
      <c r="H240" s="24" t="s">
        <v>145</v>
      </c>
      <c r="I240" s="24" t="s">
        <v>921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127</v>
      </c>
      <c r="T240" s="7" t="s">
        <v>922</v>
      </c>
      <c r="U240" s="7" t="s">
        <v>66</v>
      </c>
      <c r="V240" s="24" t="e">
        <f t="shared" ca="1" si="2"/>
        <v>#NAME?</v>
      </c>
      <c r="W240" s="7"/>
      <c r="X240" s="7"/>
      <c r="Y240" s="29" t="s">
        <v>129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923</v>
      </c>
      <c r="C241" s="41" t="s">
        <v>924</v>
      </c>
      <c r="D241" s="94" t="s">
        <v>46</v>
      </c>
      <c r="E241" s="94" t="s">
        <v>20</v>
      </c>
      <c r="F241" s="94" t="s">
        <v>124</v>
      </c>
      <c r="G241" s="7" t="e">
        <f t="shared" ca="1" si="0"/>
        <v>#NAME?</v>
      </c>
      <c r="H241" s="95" t="s">
        <v>125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127</v>
      </c>
      <c r="T241" s="94" t="s">
        <v>925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926</v>
      </c>
      <c r="C242" s="4" t="s">
        <v>927</v>
      </c>
      <c r="D242" s="7" t="s">
        <v>19</v>
      </c>
      <c r="E242" s="7" t="s">
        <v>35</v>
      </c>
      <c r="F242" s="7" t="s">
        <v>199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928</v>
      </c>
      <c r="S242" s="7" t="s">
        <v>127</v>
      </c>
      <c r="T242" s="7" t="s">
        <v>929</v>
      </c>
      <c r="U242" s="7" t="s">
        <v>202</v>
      </c>
      <c r="V242" s="24" t="e">
        <f t="shared" ca="1" si="2"/>
        <v>#NAME?</v>
      </c>
      <c r="W242" s="7"/>
      <c r="X242" s="7"/>
      <c r="Y242" s="29" t="s">
        <v>129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930</v>
      </c>
      <c r="C243" s="4" t="s">
        <v>931</v>
      </c>
      <c r="D243" s="7" t="s">
        <v>19</v>
      </c>
      <c r="E243" s="7" t="s">
        <v>35</v>
      </c>
      <c r="F243" s="7" t="s">
        <v>250</v>
      </c>
      <c r="G243" s="7" t="e">
        <f t="shared" ca="1" si="0"/>
        <v>#NAME?</v>
      </c>
      <c r="H243" s="24" t="s">
        <v>145</v>
      </c>
      <c r="I243" s="24" t="s">
        <v>229</v>
      </c>
      <c r="J243" s="7" t="str">
        <f t="shared" si="12"/>
        <v>Não</v>
      </c>
      <c r="K243" s="25">
        <v>45042</v>
      </c>
      <c r="L243" s="7"/>
      <c r="M243" s="7" t="s">
        <v>333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127</v>
      </c>
      <c r="T243" s="7" t="s">
        <v>932</v>
      </c>
      <c r="U243" s="7" t="s">
        <v>202</v>
      </c>
      <c r="V243" s="24" t="e">
        <f t="shared" ca="1" si="2"/>
        <v>#NAME?</v>
      </c>
      <c r="W243" s="7"/>
      <c r="X243" s="7"/>
      <c r="Y243" s="29" t="s">
        <v>129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933</v>
      </c>
      <c r="C244" s="55" t="s">
        <v>934</v>
      </c>
      <c r="D244" s="7" t="s">
        <v>19</v>
      </c>
      <c r="E244" s="7" t="s">
        <v>20</v>
      </c>
      <c r="F244" s="7" t="s">
        <v>935</v>
      </c>
      <c r="G244" s="7" t="e">
        <f t="shared" ca="1" si="0"/>
        <v>#NAME?</v>
      </c>
      <c r="H244" s="24" t="s">
        <v>125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936</v>
      </c>
      <c r="S244" s="7" t="s">
        <v>127</v>
      </c>
      <c r="T244" s="7" t="s">
        <v>937</v>
      </c>
      <c r="U244" s="7" t="s">
        <v>20</v>
      </c>
      <c r="V244" s="24" t="e">
        <f t="shared" ca="1" si="2"/>
        <v>#NAME?</v>
      </c>
      <c r="W244" s="7"/>
      <c r="X244" s="7"/>
      <c r="Y244" s="29" t="s">
        <v>440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938</v>
      </c>
      <c r="C245" s="4" t="s">
        <v>939</v>
      </c>
      <c r="D245" s="7" t="s">
        <v>46</v>
      </c>
      <c r="E245" s="7" t="s">
        <v>20</v>
      </c>
      <c r="F245" s="7" t="s">
        <v>124</v>
      </c>
      <c r="G245" s="7" t="e">
        <f t="shared" ca="1" si="0"/>
        <v>#NAME?</v>
      </c>
      <c r="H245" s="24" t="s">
        <v>125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185</v>
      </c>
      <c r="N245" s="26">
        <v>1.2E-2</v>
      </c>
      <c r="O245" s="7" t="s">
        <v>39</v>
      </c>
      <c r="P245" s="27">
        <v>0.2</v>
      </c>
      <c r="Q245" s="45"/>
      <c r="R245" s="45" t="s">
        <v>940</v>
      </c>
      <c r="S245" s="7" t="s">
        <v>127</v>
      </c>
      <c r="T245" s="7" t="s">
        <v>941</v>
      </c>
      <c r="U245" s="7" t="s">
        <v>575</v>
      </c>
      <c r="V245" s="24" t="e">
        <f t="shared" ca="1" si="2"/>
        <v>#NAME?</v>
      </c>
      <c r="W245" s="7"/>
      <c r="X245" s="7"/>
      <c r="Y245" s="29" t="s">
        <v>129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938</v>
      </c>
      <c r="C246" s="44" t="s">
        <v>942</v>
      </c>
      <c r="D246" s="7" t="s">
        <v>46</v>
      </c>
      <c r="E246" s="7" t="s">
        <v>20</v>
      </c>
      <c r="F246" s="7" t="s">
        <v>124</v>
      </c>
      <c r="G246" s="7" t="e">
        <f t="shared" ca="1" si="0"/>
        <v>#NAME?</v>
      </c>
      <c r="H246" s="24" t="s">
        <v>125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940</v>
      </c>
      <c r="S246" s="7" t="s">
        <v>127</v>
      </c>
      <c r="T246" s="12" t="s">
        <v>941</v>
      </c>
      <c r="U246" s="7" t="s">
        <v>575</v>
      </c>
      <c r="V246" s="24" t="e">
        <f t="shared" ca="1" si="2"/>
        <v>#NAME?</v>
      </c>
      <c r="W246" s="7"/>
      <c r="X246" s="7"/>
      <c r="Y246" s="29" t="s">
        <v>129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943</v>
      </c>
      <c r="C247" s="4" t="s">
        <v>944</v>
      </c>
      <c r="D247" s="7" t="s">
        <v>19</v>
      </c>
      <c r="E247" s="7" t="s">
        <v>41</v>
      </c>
      <c r="F247" s="7" t="s">
        <v>651</v>
      </c>
      <c r="G247" s="7" t="e">
        <f t="shared" ca="1" si="0"/>
        <v>#NAME?</v>
      </c>
      <c r="H247" s="24" t="s">
        <v>134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185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127</v>
      </c>
      <c r="T247" s="7" t="s">
        <v>945</v>
      </c>
      <c r="U247" s="7" t="s">
        <v>20</v>
      </c>
      <c r="V247" s="24" t="e">
        <f t="shared" ca="1" si="2"/>
        <v>#NAME?</v>
      </c>
      <c r="W247" s="7"/>
      <c r="X247" s="7"/>
      <c r="Y247" s="29" t="s">
        <v>129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946</v>
      </c>
      <c r="C248" s="4" t="s">
        <v>947</v>
      </c>
      <c r="D248" s="7" t="s">
        <v>46</v>
      </c>
      <c r="E248" s="7" t="s">
        <v>20</v>
      </c>
      <c r="F248" s="7" t="s">
        <v>948</v>
      </c>
      <c r="G248" s="7" t="e">
        <f t="shared" ca="1" si="0"/>
        <v>#NAME?</v>
      </c>
      <c r="H248" s="24" t="s">
        <v>125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949</v>
      </c>
      <c r="S248" s="7" t="s">
        <v>127</v>
      </c>
      <c r="T248" s="7" t="s">
        <v>950</v>
      </c>
      <c r="U248" s="7" t="s">
        <v>20</v>
      </c>
      <c r="V248" s="24" t="e">
        <f t="shared" ca="1" si="2"/>
        <v>#NAME?</v>
      </c>
      <c r="W248" s="7"/>
      <c r="X248" s="7"/>
      <c r="Y248" s="29" t="s">
        <v>240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951</v>
      </c>
      <c r="C249" s="35" t="s">
        <v>952</v>
      </c>
      <c r="D249" s="7" t="s">
        <v>19</v>
      </c>
      <c r="E249" s="7" t="s">
        <v>66</v>
      </c>
      <c r="F249" s="7" t="s">
        <v>144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171</v>
      </c>
      <c r="T249" s="6" t="s">
        <v>953</v>
      </c>
      <c r="U249" s="7" t="s">
        <v>66</v>
      </c>
      <c r="V249" s="24" t="e">
        <f t="shared" ca="1" si="2"/>
        <v>#NAME?</v>
      </c>
      <c r="W249" s="7"/>
      <c r="X249" s="7"/>
      <c r="Y249" s="29" t="s">
        <v>129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954</v>
      </c>
      <c r="C250" s="105" t="s">
        <v>955</v>
      </c>
      <c r="D250" s="7" t="s">
        <v>19</v>
      </c>
      <c r="E250" s="7" t="s">
        <v>35</v>
      </c>
      <c r="F250" s="9" t="s">
        <v>250</v>
      </c>
      <c r="G250" s="7" t="e">
        <f t="shared" ca="1" si="0"/>
        <v>#NAME?</v>
      </c>
      <c r="H250" s="24" t="s">
        <v>145</v>
      </c>
      <c r="I250" s="24" t="s">
        <v>956</v>
      </c>
      <c r="J250" s="7" t="str">
        <f t="shared" si="12"/>
        <v>Não</v>
      </c>
      <c r="K250" s="25">
        <v>45222</v>
      </c>
      <c r="L250" s="7"/>
      <c r="M250" s="7" t="s">
        <v>156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127</v>
      </c>
      <c r="T250" s="7" t="s">
        <v>957</v>
      </c>
      <c r="U250" s="7" t="s">
        <v>202</v>
      </c>
      <c r="V250" s="24" t="e">
        <f t="shared" ca="1" si="2"/>
        <v>#NAME?</v>
      </c>
      <c r="W250" s="7"/>
      <c r="X250" s="7"/>
      <c r="Y250" s="29" t="s">
        <v>129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958</v>
      </c>
      <c r="C251" s="41" t="s">
        <v>959</v>
      </c>
      <c r="D251" s="7" t="s">
        <v>46</v>
      </c>
      <c r="E251" s="7" t="s">
        <v>20</v>
      </c>
      <c r="F251" s="7" t="s">
        <v>477</v>
      </c>
      <c r="G251" s="7" t="e">
        <f t="shared" ca="1" si="0"/>
        <v>#NAME?</v>
      </c>
      <c r="H251" s="24" t="s">
        <v>125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127</v>
      </c>
      <c r="T251" s="7" t="s">
        <v>960</v>
      </c>
      <c r="U251" s="7" t="s">
        <v>41</v>
      </c>
      <c r="V251" s="24" t="e">
        <f t="shared" ca="1" si="2"/>
        <v>#NAME?</v>
      </c>
      <c r="W251" s="7"/>
      <c r="X251" s="7"/>
      <c r="Y251" s="29" t="s">
        <v>129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961</v>
      </c>
      <c r="C252" s="41" t="s">
        <v>962</v>
      </c>
      <c r="D252" s="7" t="s">
        <v>19</v>
      </c>
      <c r="E252" s="7" t="s">
        <v>20</v>
      </c>
      <c r="F252" s="9" t="s">
        <v>497</v>
      </c>
      <c r="G252" s="7" t="e">
        <f t="shared" ca="1" si="0"/>
        <v>#NAME?</v>
      </c>
      <c r="H252" s="24" t="s">
        <v>134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127</v>
      </c>
      <c r="T252" s="7" t="s">
        <v>963</v>
      </c>
      <c r="U252" s="7" t="s">
        <v>20</v>
      </c>
      <c r="V252" s="24" t="e">
        <f t="shared" ca="1" si="2"/>
        <v>#NAME?</v>
      </c>
      <c r="W252" s="7"/>
      <c r="X252" s="7"/>
      <c r="Y252" s="29" t="s">
        <v>129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964</v>
      </c>
      <c r="C253" s="44" t="s">
        <v>965</v>
      </c>
      <c r="D253" s="7" t="s">
        <v>19</v>
      </c>
      <c r="E253" s="7" t="s">
        <v>66</v>
      </c>
      <c r="F253" s="7" t="s">
        <v>966</v>
      </c>
      <c r="G253" s="7" t="e">
        <f t="shared" ca="1" si="0"/>
        <v>#NAME?</v>
      </c>
      <c r="H253" s="24" t="s">
        <v>134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127</v>
      </c>
      <c r="T253" s="12" t="s">
        <v>967</v>
      </c>
      <c r="U253" s="7" t="s">
        <v>66</v>
      </c>
      <c r="V253" s="24" t="e">
        <f t="shared" ca="1" si="2"/>
        <v>#NAME?</v>
      </c>
      <c r="W253" s="7"/>
      <c r="X253" s="7"/>
      <c r="Y253" s="29" t="s">
        <v>129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968</v>
      </c>
      <c r="C254" s="4" t="s">
        <v>969</v>
      </c>
      <c r="D254" s="7" t="s">
        <v>19</v>
      </c>
      <c r="E254" s="7" t="s">
        <v>66</v>
      </c>
      <c r="F254" s="7" t="s">
        <v>144</v>
      </c>
      <c r="G254" s="7" t="e">
        <f t="shared" ca="1" si="0"/>
        <v>#NAME?</v>
      </c>
      <c r="H254" s="24" t="s">
        <v>145</v>
      </c>
      <c r="I254" s="24" t="s">
        <v>146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970</v>
      </c>
      <c r="S254" s="7" t="s">
        <v>127</v>
      </c>
      <c r="T254" s="7" t="s">
        <v>971</v>
      </c>
      <c r="U254" s="7" t="s">
        <v>972</v>
      </c>
      <c r="V254" s="24" t="e">
        <f t="shared" ca="1" si="2"/>
        <v>#NAME?</v>
      </c>
      <c r="W254" s="7"/>
      <c r="X254" s="7"/>
      <c r="Y254" s="29" t="s">
        <v>240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973</v>
      </c>
      <c r="C255" s="4" t="s">
        <v>974</v>
      </c>
      <c r="D255" s="7" t="s">
        <v>19</v>
      </c>
      <c r="E255" s="7" t="s">
        <v>66</v>
      </c>
      <c r="F255" s="7" t="s">
        <v>265</v>
      </c>
      <c r="G255" s="7" t="e">
        <f t="shared" ca="1" si="0"/>
        <v>#NAME?</v>
      </c>
      <c r="H255" s="24" t="s">
        <v>134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127</v>
      </c>
      <c r="T255" s="7" t="s">
        <v>975</v>
      </c>
      <c r="U255" s="7" t="s">
        <v>66</v>
      </c>
      <c r="V255" s="24" t="e">
        <f t="shared" ca="1" si="2"/>
        <v>#NAME?</v>
      </c>
      <c r="W255" s="7"/>
      <c r="X255" s="7"/>
      <c r="Y255" s="29" t="s">
        <v>129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976</v>
      </c>
      <c r="C256" s="64" t="s">
        <v>977</v>
      </c>
      <c r="D256" s="7" t="s">
        <v>19</v>
      </c>
      <c r="E256" s="7" t="s">
        <v>20</v>
      </c>
      <c r="F256" s="7" t="s">
        <v>360</v>
      </c>
      <c r="G256" s="7" t="e">
        <f t="shared" ca="1" si="0"/>
        <v>#NAME?</v>
      </c>
      <c r="H256" s="24" t="s">
        <v>145</v>
      </c>
      <c r="I256" s="24" t="s">
        <v>229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127</v>
      </c>
      <c r="T256" s="7" t="s">
        <v>978</v>
      </c>
      <c r="U256" s="7" t="s">
        <v>20</v>
      </c>
      <c r="V256" s="24" t="e">
        <f t="shared" ca="1" si="2"/>
        <v>#NAME?</v>
      </c>
      <c r="W256" s="7"/>
      <c r="X256" s="7"/>
      <c r="Y256" s="29" t="s">
        <v>129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979</v>
      </c>
      <c r="C257" s="4" t="s">
        <v>980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134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127</v>
      </c>
      <c r="T257" s="7" t="s">
        <v>981</v>
      </c>
      <c r="U257" s="7" t="s">
        <v>20</v>
      </c>
      <c r="V257" s="24" t="e">
        <f t="shared" ca="1" si="2"/>
        <v>#NAME?</v>
      </c>
      <c r="W257" s="7"/>
      <c r="X257" s="7"/>
      <c r="Y257" s="29" t="s">
        <v>129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982</v>
      </c>
      <c r="C258" s="4" t="s">
        <v>983</v>
      </c>
      <c r="D258" s="7" t="s">
        <v>19</v>
      </c>
      <c r="E258" s="7" t="s">
        <v>20</v>
      </c>
      <c r="F258" s="7" t="s">
        <v>720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134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185</v>
      </c>
      <c r="N258" s="26">
        <v>1.4999999999999999E-2</v>
      </c>
      <c r="O258" s="7" t="s">
        <v>39</v>
      </c>
      <c r="P258" s="27">
        <v>0.1</v>
      </c>
      <c r="Q258" s="28" t="s">
        <v>984</v>
      </c>
      <c r="R258" s="28"/>
      <c r="S258" s="7" t="s">
        <v>171</v>
      </c>
      <c r="T258" s="7" t="s">
        <v>985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129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986</v>
      </c>
      <c r="C259" s="4" t="s">
        <v>987</v>
      </c>
      <c r="D259" s="7" t="s">
        <v>19</v>
      </c>
      <c r="E259" s="7" t="s">
        <v>20</v>
      </c>
      <c r="F259" s="7" t="s">
        <v>184</v>
      </c>
      <c r="G259" s="7" t="e">
        <f t="shared" ca="1" si="13"/>
        <v>#NAME?</v>
      </c>
      <c r="H259" s="24" t="s">
        <v>145</v>
      </c>
      <c r="I259" s="24" t="s">
        <v>988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127</v>
      </c>
      <c r="T259" s="7" t="s">
        <v>989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129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990</v>
      </c>
      <c r="C260" s="4" t="s">
        <v>991</v>
      </c>
      <c r="D260" s="7" t="s">
        <v>19</v>
      </c>
      <c r="E260" s="7" t="s">
        <v>20</v>
      </c>
      <c r="F260" s="7" t="s">
        <v>935</v>
      </c>
      <c r="G260" s="7" t="e">
        <f t="shared" ca="1" si="13"/>
        <v>#NAME?</v>
      </c>
      <c r="H260" s="24" t="s">
        <v>125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127</v>
      </c>
      <c r="T260" s="7" t="s">
        <v>992</v>
      </c>
      <c r="U260" s="7" t="s">
        <v>20</v>
      </c>
      <c r="V260" s="24" t="e">
        <f t="shared" ca="1" si="14"/>
        <v>#NAME?</v>
      </c>
      <c r="W260" s="7"/>
      <c r="X260" s="7"/>
      <c r="Y260" s="29" t="s">
        <v>240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993</v>
      </c>
      <c r="C261" s="4" t="s">
        <v>994</v>
      </c>
      <c r="D261" s="7" t="s">
        <v>19</v>
      </c>
      <c r="E261" s="7" t="s">
        <v>35</v>
      </c>
      <c r="F261" s="7" t="s">
        <v>250</v>
      </c>
      <c r="G261" s="7" t="e">
        <f t="shared" ca="1" si="13"/>
        <v>#NAME?</v>
      </c>
      <c r="H261" s="24" t="s">
        <v>145</v>
      </c>
      <c r="I261" s="24" t="s">
        <v>229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127</v>
      </c>
      <c r="T261" s="7" t="s">
        <v>995</v>
      </c>
      <c r="U261" s="7" t="s">
        <v>202</v>
      </c>
      <c r="V261" s="24" t="e">
        <f t="shared" ca="1" si="14"/>
        <v>#NAME?</v>
      </c>
      <c r="W261" s="7"/>
      <c r="X261" s="7"/>
      <c r="Y261" s="29" t="s">
        <v>240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996</v>
      </c>
      <c r="C262" s="4" t="s">
        <v>997</v>
      </c>
      <c r="D262" s="7" t="s">
        <v>19</v>
      </c>
      <c r="E262" s="7" t="s">
        <v>66</v>
      </c>
      <c r="F262" s="7" t="s">
        <v>144</v>
      </c>
      <c r="G262" s="7" t="e">
        <f t="shared" ca="1" si="13"/>
        <v>#NAME?</v>
      </c>
      <c r="H262" s="24" t="s">
        <v>134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127</v>
      </c>
      <c r="T262" s="7" t="s">
        <v>998</v>
      </c>
      <c r="U262" s="7" t="s">
        <v>66</v>
      </c>
      <c r="V262" s="24" t="e">
        <f t="shared" ca="1" si="14"/>
        <v>#NAME?</v>
      </c>
      <c r="W262" s="7"/>
      <c r="X262" s="7"/>
      <c r="Y262" s="29" t="s">
        <v>240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999</v>
      </c>
      <c r="C263" s="4" t="s">
        <v>1000</v>
      </c>
      <c r="D263" s="7" t="s">
        <v>46</v>
      </c>
      <c r="E263" s="7" t="s">
        <v>20</v>
      </c>
      <c r="F263" s="7" t="s">
        <v>124</v>
      </c>
      <c r="G263" s="7" t="e">
        <f t="shared" ca="1" si="13"/>
        <v>#NAME?</v>
      </c>
      <c r="H263" s="24" t="s">
        <v>125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1001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127</v>
      </c>
      <c r="T263" s="7" t="s">
        <v>1002</v>
      </c>
      <c r="U263" s="7" t="s">
        <v>20</v>
      </c>
      <c r="V263" s="24" t="e">
        <f t="shared" ca="1" si="14"/>
        <v>#NAME?</v>
      </c>
      <c r="W263" s="7"/>
      <c r="X263" s="7"/>
      <c r="Y263" s="29" t="s">
        <v>129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1003</v>
      </c>
      <c r="C264" s="39" t="s">
        <v>1004</v>
      </c>
      <c r="D264" s="7" t="s">
        <v>71</v>
      </c>
      <c r="E264" s="7" t="s">
        <v>66</v>
      </c>
      <c r="F264" s="7" t="s">
        <v>72</v>
      </c>
      <c r="G264" s="7" t="e">
        <f t="shared" ca="1" si="13"/>
        <v>#NAME?</v>
      </c>
      <c r="H264" s="24" t="s">
        <v>134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1005</v>
      </c>
      <c r="R264" s="28"/>
      <c r="S264" s="7" t="s">
        <v>127</v>
      </c>
      <c r="T264" s="6" t="s">
        <v>1006</v>
      </c>
      <c r="U264" s="7" t="s">
        <v>66</v>
      </c>
      <c r="V264" s="24" t="e">
        <f t="shared" ca="1" si="14"/>
        <v>#NAME?</v>
      </c>
      <c r="W264" s="7"/>
      <c r="X264" s="7" t="s">
        <v>42</v>
      </c>
      <c r="Y264" s="29" t="s">
        <v>129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1007</v>
      </c>
      <c r="C265" s="4" t="s">
        <v>1008</v>
      </c>
      <c r="D265" s="7" t="s">
        <v>71</v>
      </c>
      <c r="E265" s="7" t="s">
        <v>66</v>
      </c>
      <c r="F265" s="7" t="s">
        <v>72</v>
      </c>
      <c r="G265" s="7" t="e">
        <f t="shared" ca="1" si="13"/>
        <v>#NAME?</v>
      </c>
      <c r="H265" s="24" t="s">
        <v>134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127</v>
      </c>
      <c r="T265" s="12" t="s">
        <v>1009</v>
      </c>
      <c r="U265" s="7" t="s">
        <v>66</v>
      </c>
      <c r="V265" s="24" t="e">
        <f t="shared" ca="1" si="14"/>
        <v>#NAME?</v>
      </c>
      <c r="W265" s="7"/>
      <c r="X265" s="7"/>
      <c r="Y265" s="29" t="s">
        <v>129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1010</v>
      </c>
      <c r="C266" s="4" t="s">
        <v>1011</v>
      </c>
      <c r="D266" s="7" t="s">
        <v>19</v>
      </c>
      <c r="E266" s="7" t="s">
        <v>66</v>
      </c>
      <c r="F266" s="7" t="s">
        <v>316</v>
      </c>
      <c r="G266" s="7" t="e">
        <f t="shared" ca="1" si="13"/>
        <v>#NAME?</v>
      </c>
      <c r="H266" s="24" t="s">
        <v>134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1012</v>
      </c>
      <c r="R266" s="28" t="s">
        <v>1013</v>
      </c>
      <c r="S266" s="7" t="s">
        <v>127</v>
      </c>
      <c r="T266" s="7" t="s">
        <v>1014</v>
      </c>
      <c r="U266" s="7" t="s">
        <v>20</v>
      </c>
      <c r="V266" s="24" t="e">
        <f t="shared" ca="1" si="14"/>
        <v>#NAME?</v>
      </c>
      <c r="W266" s="7"/>
      <c r="X266" s="7"/>
      <c r="Y266" s="29" t="s">
        <v>240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1015</v>
      </c>
      <c r="C267" s="4" t="s">
        <v>1016</v>
      </c>
      <c r="D267" s="7" t="s">
        <v>19</v>
      </c>
      <c r="E267" s="7" t="s">
        <v>66</v>
      </c>
      <c r="F267" s="7" t="s">
        <v>144</v>
      </c>
      <c r="G267" s="7" t="e">
        <f t="shared" ca="1" si="13"/>
        <v>#NAME?</v>
      </c>
      <c r="H267" s="24" t="s">
        <v>145</v>
      </c>
      <c r="I267" s="24" t="s">
        <v>146</v>
      </c>
      <c r="J267" s="7" t="str">
        <f t="shared" si="12"/>
        <v>Não</v>
      </c>
      <c r="K267" s="25">
        <v>45166</v>
      </c>
      <c r="L267" s="7"/>
      <c r="M267" s="7" t="s">
        <v>185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171</v>
      </c>
      <c r="T267" s="7" t="s">
        <v>1017</v>
      </c>
      <c r="U267" s="7" t="s">
        <v>66</v>
      </c>
      <c r="V267" s="24" t="e">
        <f t="shared" ca="1" si="14"/>
        <v>#NAME?</v>
      </c>
      <c r="W267" s="7"/>
      <c r="X267" s="7"/>
      <c r="Y267" s="29" t="s">
        <v>129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1018</v>
      </c>
      <c r="C268" s="60" t="s">
        <v>1019</v>
      </c>
      <c r="D268" s="7" t="s">
        <v>19</v>
      </c>
      <c r="E268" s="7" t="s">
        <v>20</v>
      </c>
      <c r="F268" s="7" t="s">
        <v>184</v>
      </c>
      <c r="G268" s="7" t="e">
        <f t="shared" ca="1" si="13"/>
        <v>#NAME?</v>
      </c>
      <c r="H268" s="24" t="s">
        <v>134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1020</v>
      </c>
      <c r="R268" s="28"/>
      <c r="S268" s="7" t="s">
        <v>127</v>
      </c>
      <c r="T268" s="7" t="s">
        <v>1021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129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1022</v>
      </c>
      <c r="C269" s="39" t="s">
        <v>1023</v>
      </c>
      <c r="D269" s="7" t="s">
        <v>19</v>
      </c>
      <c r="E269" s="7" t="s">
        <v>20</v>
      </c>
      <c r="F269" s="7" t="s">
        <v>155</v>
      </c>
      <c r="G269" s="7" t="e">
        <f t="shared" ca="1" si="13"/>
        <v>#NAME?</v>
      </c>
      <c r="H269" s="24" t="s">
        <v>134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127</v>
      </c>
      <c r="T269" s="7" t="s">
        <v>1024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129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1022</v>
      </c>
      <c r="C270" s="39" t="s">
        <v>1025</v>
      </c>
      <c r="D270" s="7" t="s">
        <v>19</v>
      </c>
      <c r="E270" s="7" t="s">
        <v>20</v>
      </c>
      <c r="F270" s="7" t="s">
        <v>155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454</v>
      </c>
      <c r="N270" s="26">
        <v>7.0000000000000001E-3</v>
      </c>
      <c r="O270" s="7" t="s">
        <v>25</v>
      </c>
      <c r="P270" s="27">
        <v>0</v>
      </c>
      <c r="Q270" s="28" t="s">
        <v>1026</v>
      </c>
      <c r="R270" s="28"/>
      <c r="S270" s="7" t="s">
        <v>171</v>
      </c>
      <c r="T270" s="7" t="s">
        <v>1027</v>
      </c>
      <c r="U270" s="7" t="s">
        <v>66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1028</v>
      </c>
      <c r="C271" s="64" t="s">
        <v>1029</v>
      </c>
      <c r="D271" s="7" t="s">
        <v>55</v>
      </c>
      <c r="E271" s="7" t="s">
        <v>20</v>
      </c>
      <c r="F271" s="7" t="s">
        <v>374</v>
      </c>
      <c r="G271" s="7" t="e">
        <f t="shared" ca="1" si="13"/>
        <v>#NAME?</v>
      </c>
      <c r="H271" s="24" t="s">
        <v>134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127</v>
      </c>
      <c r="T271" s="7" t="s">
        <v>1030</v>
      </c>
      <c r="U271" s="7" t="s">
        <v>20</v>
      </c>
      <c r="V271" s="24" t="e">
        <f t="shared" ca="1" si="14"/>
        <v>#NAME?</v>
      </c>
      <c r="W271" s="7"/>
      <c r="X271" s="7"/>
      <c r="Y271" s="29" t="s">
        <v>129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1031</v>
      </c>
      <c r="C272" s="4" t="s">
        <v>1032</v>
      </c>
      <c r="D272" s="7" t="s">
        <v>19</v>
      </c>
      <c r="E272" s="7" t="s">
        <v>35</v>
      </c>
      <c r="F272" s="7" t="s">
        <v>250</v>
      </c>
      <c r="G272" s="7" t="e">
        <f t="shared" ca="1" si="13"/>
        <v>#NAME?</v>
      </c>
      <c r="H272" s="24" t="s">
        <v>125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297</v>
      </c>
      <c r="S272" s="7" t="s">
        <v>127</v>
      </c>
      <c r="T272" s="7" t="s">
        <v>1033</v>
      </c>
      <c r="U272" s="7" t="s">
        <v>202</v>
      </c>
      <c r="V272" s="24" t="e">
        <f t="shared" ca="1" si="14"/>
        <v>#NAME?</v>
      </c>
      <c r="W272" s="7"/>
      <c r="X272" s="7"/>
      <c r="Y272" s="29" t="s">
        <v>129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1034</v>
      </c>
      <c r="C273" s="4" t="s">
        <v>1035</v>
      </c>
      <c r="D273" s="7" t="s">
        <v>19</v>
      </c>
      <c r="E273" s="7" t="s">
        <v>35</v>
      </c>
      <c r="F273" s="7" t="s">
        <v>250</v>
      </c>
      <c r="G273" s="7" t="e">
        <f t="shared" ca="1" si="13"/>
        <v>#NAME?</v>
      </c>
      <c r="H273" s="24" t="s">
        <v>145</v>
      </c>
      <c r="I273" s="24" t="s">
        <v>146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127</v>
      </c>
      <c r="T273" s="7" t="s">
        <v>1036</v>
      </c>
      <c r="U273" s="7" t="s">
        <v>202</v>
      </c>
      <c r="V273" s="24" t="e">
        <f t="shared" ca="1" si="14"/>
        <v>#NAME?</v>
      </c>
      <c r="W273" s="7"/>
      <c r="X273" s="7"/>
      <c r="Y273" s="29" t="s">
        <v>129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1037</v>
      </c>
      <c r="C274" s="4" t="s">
        <v>1038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145</v>
      </c>
      <c r="I274" s="24" t="s">
        <v>1039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1040</v>
      </c>
      <c r="S274" s="7" t="s">
        <v>127</v>
      </c>
      <c r="T274" s="7" t="s">
        <v>1041</v>
      </c>
      <c r="U274" s="7" t="s">
        <v>20</v>
      </c>
      <c r="V274" s="24" t="e">
        <f t="shared" ca="1" si="14"/>
        <v>#NAME?</v>
      </c>
      <c r="W274" s="7"/>
      <c r="X274" s="7"/>
      <c r="Y274" s="29" t="s">
        <v>129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1037</v>
      </c>
      <c r="C275" s="4" t="s">
        <v>1042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134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245</v>
      </c>
      <c r="N275" s="26">
        <v>8.0000000000000002E-3</v>
      </c>
      <c r="O275" s="7" t="s">
        <v>246</v>
      </c>
      <c r="P275" s="27">
        <v>0.1</v>
      </c>
      <c r="Q275" s="45"/>
      <c r="R275" s="28" t="s">
        <v>1040</v>
      </c>
      <c r="S275" s="7" t="s">
        <v>127</v>
      </c>
      <c r="T275" s="7" t="s">
        <v>1041</v>
      </c>
      <c r="U275" s="7" t="s">
        <v>20</v>
      </c>
      <c r="V275" s="24" t="e">
        <f t="shared" ca="1" si="14"/>
        <v>#NAME?</v>
      </c>
      <c r="W275" s="7"/>
      <c r="X275" s="7"/>
      <c r="Y275" s="29" t="s">
        <v>129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1043</v>
      </c>
      <c r="C276" s="4" t="s">
        <v>1044</v>
      </c>
      <c r="D276" s="7" t="s">
        <v>19</v>
      </c>
      <c r="E276" s="7" t="s">
        <v>66</v>
      </c>
      <c r="F276" s="7" t="s">
        <v>67</v>
      </c>
      <c r="G276" s="7" t="e">
        <f t="shared" ca="1" si="13"/>
        <v>#NAME?</v>
      </c>
      <c r="H276" s="24" t="s">
        <v>134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127</v>
      </c>
      <c r="T276" s="7" t="s">
        <v>1045</v>
      </c>
      <c r="U276" s="7" t="s">
        <v>66</v>
      </c>
      <c r="V276" s="24" t="e">
        <f t="shared" ca="1" si="14"/>
        <v>#NAME?</v>
      </c>
      <c r="W276" s="7"/>
      <c r="X276" s="7" t="s">
        <v>42</v>
      </c>
      <c r="Y276" s="29" t="s">
        <v>129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1046</v>
      </c>
      <c r="C277" s="4" t="s">
        <v>1047</v>
      </c>
      <c r="D277" s="7" t="s">
        <v>19</v>
      </c>
      <c r="E277" s="7" t="s">
        <v>20</v>
      </c>
      <c r="F277" s="7" t="s">
        <v>184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127</v>
      </c>
      <c r="T277" s="7" t="s">
        <v>1048</v>
      </c>
      <c r="U277" s="7" t="s">
        <v>20</v>
      </c>
      <c r="V277" s="24" t="e">
        <f t="shared" ca="1" si="14"/>
        <v>#NAME?</v>
      </c>
      <c r="W277" s="7"/>
      <c r="X277" s="7" t="s">
        <v>137</v>
      </c>
      <c r="Y277" s="29" t="s">
        <v>129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1049</v>
      </c>
      <c r="C278" s="4" t="s">
        <v>1050</v>
      </c>
      <c r="D278" s="7" t="s">
        <v>19</v>
      </c>
      <c r="E278" s="7" t="s">
        <v>66</v>
      </c>
      <c r="F278" s="7" t="s">
        <v>316</v>
      </c>
      <c r="G278" s="7" t="e">
        <f t="shared" ca="1" si="13"/>
        <v>#NAME?</v>
      </c>
      <c r="H278" s="24" t="s">
        <v>134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1051</v>
      </c>
      <c r="R278" s="28"/>
      <c r="S278" s="7" t="s">
        <v>127</v>
      </c>
      <c r="T278" s="7" t="s">
        <v>1052</v>
      </c>
      <c r="U278" s="7" t="s">
        <v>20</v>
      </c>
      <c r="V278" s="24" t="e">
        <f t="shared" ca="1" si="14"/>
        <v>#NAME?</v>
      </c>
      <c r="W278" s="7"/>
      <c r="X278" s="7" t="s">
        <v>137</v>
      </c>
      <c r="Y278" s="29" t="s">
        <v>129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1053</v>
      </c>
      <c r="C279" s="4" t="s">
        <v>1054</v>
      </c>
      <c r="D279" s="7" t="s">
        <v>46</v>
      </c>
      <c r="E279" s="7" t="s">
        <v>20</v>
      </c>
      <c r="F279" s="7" t="s">
        <v>124</v>
      </c>
      <c r="G279" s="7" t="e">
        <f t="shared" ca="1" si="13"/>
        <v>#NAME?</v>
      </c>
      <c r="H279" s="24" t="s">
        <v>125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127</v>
      </c>
      <c r="T279" s="7" t="s">
        <v>1055</v>
      </c>
      <c r="U279" s="7" t="s">
        <v>20</v>
      </c>
      <c r="V279" s="24" t="e">
        <f t="shared" ca="1" si="14"/>
        <v>#NAME?</v>
      </c>
      <c r="W279" s="7"/>
      <c r="X279" s="7"/>
      <c r="Y279" s="29" t="s">
        <v>240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1056</v>
      </c>
      <c r="C280" s="4" t="s">
        <v>1057</v>
      </c>
      <c r="D280" s="7" t="s">
        <v>19</v>
      </c>
      <c r="E280" s="7" t="s">
        <v>35</v>
      </c>
      <c r="F280" s="7" t="s">
        <v>199</v>
      </c>
      <c r="G280" s="7" t="e">
        <f t="shared" ca="1" si="13"/>
        <v>#NAME?</v>
      </c>
      <c r="H280" s="24" t="s">
        <v>134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185</v>
      </c>
      <c r="N280" s="26">
        <v>1.4999999999999999E-2</v>
      </c>
      <c r="O280" s="7" t="s">
        <v>39</v>
      </c>
      <c r="P280" s="27">
        <v>0.1</v>
      </c>
      <c r="Q280" s="23"/>
      <c r="R280" s="28" t="s">
        <v>1058</v>
      </c>
      <c r="S280" s="7" t="s">
        <v>127</v>
      </c>
      <c r="T280" s="7" t="s">
        <v>1059</v>
      </c>
      <c r="U280" s="7" t="s">
        <v>202</v>
      </c>
      <c r="V280" s="24" t="e">
        <f t="shared" ca="1" si="14"/>
        <v>#NAME?</v>
      </c>
      <c r="W280" s="7"/>
      <c r="X280" s="7"/>
      <c r="Y280" s="29" t="s">
        <v>129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1060</v>
      </c>
      <c r="C281" s="4" t="s">
        <v>1061</v>
      </c>
      <c r="D281" s="7" t="s">
        <v>19</v>
      </c>
      <c r="E281" s="7" t="s">
        <v>66</v>
      </c>
      <c r="F281" s="7" t="s">
        <v>144</v>
      </c>
      <c r="G281" s="7" t="e">
        <f t="shared" ca="1" si="13"/>
        <v>#NAME?</v>
      </c>
      <c r="H281" s="24" t="s">
        <v>125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127</v>
      </c>
      <c r="T281" s="7" t="s">
        <v>1062</v>
      </c>
      <c r="U281" s="7" t="s">
        <v>41</v>
      </c>
      <c r="V281" s="24" t="e">
        <f t="shared" ca="1" si="14"/>
        <v>#NAME?</v>
      </c>
      <c r="W281" s="7"/>
      <c r="X281" s="7"/>
      <c r="Y281" s="29" t="s">
        <v>129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1063</v>
      </c>
      <c r="C282" s="4" t="s">
        <v>1064</v>
      </c>
      <c r="D282" s="7" t="s">
        <v>19</v>
      </c>
      <c r="E282" s="7" t="s">
        <v>20</v>
      </c>
      <c r="F282" s="7" t="s">
        <v>195</v>
      </c>
      <c r="G282" s="7" t="e">
        <f t="shared" ca="1" si="13"/>
        <v>#NAME?</v>
      </c>
      <c r="H282" s="24" t="s">
        <v>134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242</v>
      </c>
      <c r="N282" s="26">
        <v>0.02</v>
      </c>
      <c r="O282" s="7" t="s">
        <v>167</v>
      </c>
      <c r="P282" s="27">
        <v>0.2</v>
      </c>
      <c r="Q282" s="45"/>
      <c r="R282" s="45" t="s">
        <v>1065</v>
      </c>
      <c r="S282" s="7" t="s">
        <v>127</v>
      </c>
      <c r="T282" s="7" t="s">
        <v>1066</v>
      </c>
      <c r="U282" s="7" t="s">
        <v>48</v>
      </c>
      <c r="V282" s="24" t="e">
        <f t="shared" ca="1" si="14"/>
        <v>#NAME?</v>
      </c>
      <c r="W282" s="7"/>
      <c r="X282" s="7"/>
      <c r="Y282" s="29" t="s">
        <v>129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1067</v>
      </c>
      <c r="C283" s="4" t="s">
        <v>1068</v>
      </c>
      <c r="D283" s="7" t="s">
        <v>19</v>
      </c>
      <c r="E283" s="7" t="s">
        <v>35</v>
      </c>
      <c r="F283" s="7" t="s">
        <v>199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185</v>
      </c>
      <c r="N283" s="26">
        <v>1.4999999999999999E-2</v>
      </c>
      <c r="O283" s="7" t="s">
        <v>39</v>
      </c>
      <c r="P283" s="27">
        <v>0.1</v>
      </c>
      <c r="Q283" s="28"/>
      <c r="R283" s="28" t="s">
        <v>1069</v>
      </c>
      <c r="S283" s="7" t="s">
        <v>127</v>
      </c>
      <c r="T283" s="7" t="s">
        <v>1070</v>
      </c>
      <c r="U283" s="7" t="s">
        <v>202</v>
      </c>
      <c r="V283" s="24" t="e">
        <f t="shared" ca="1" si="14"/>
        <v>#NAME?</v>
      </c>
      <c r="W283" s="7"/>
      <c r="X283" s="7"/>
      <c r="Y283" s="29" t="s">
        <v>129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1071</v>
      </c>
      <c r="C284" s="64" t="s">
        <v>1072</v>
      </c>
      <c r="D284" s="6" t="s">
        <v>46</v>
      </c>
      <c r="E284" s="6" t="s">
        <v>20</v>
      </c>
      <c r="F284" s="7" t="s">
        <v>124</v>
      </c>
      <c r="G284" s="7" t="e">
        <f t="shared" ca="1" si="13"/>
        <v>#NAME?</v>
      </c>
      <c r="H284" s="8" t="s">
        <v>125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297</v>
      </c>
      <c r="S284" s="6" t="s">
        <v>127</v>
      </c>
      <c r="T284" s="7" t="s">
        <v>1073</v>
      </c>
      <c r="U284" s="6" t="s">
        <v>20</v>
      </c>
      <c r="V284" s="24" t="e">
        <f t="shared" ca="1" si="14"/>
        <v>#NAME?</v>
      </c>
      <c r="W284" s="6"/>
      <c r="X284" s="6"/>
      <c r="Y284" s="109" t="s">
        <v>129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1074</v>
      </c>
      <c r="C285" s="49" t="s">
        <v>1075</v>
      </c>
      <c r="D285" s="7" t="s">
        <v>19</v>
      </c>
      <c r="E285" s="7" t="s">
        <v>20</v>
      </c>
      <c r="F285" s="7" t="s">
        <v>195</v>
      </c>
      <c r="G285" s="7" t="e">
        <f t="shared" ca="1" si="13"/>
        <v>#NAME?</v>
      </c>
      <c r="H285" s="24" t="s">
        <v>125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297</v>
      </c>
      <c r="S285" s="7" t="s">
        <v>127</v>
      </c>
      <c r="T285" s="7" t="s">
        <v>1076</v>
      </c>
      <c r="U285" s="7" t="s">
        <v>878</v>
      </c>
      <c r="V285" s="24" t="e">
        <f t="shared" ca="1" si="14"/>
        <v>#NAME?</v>
      </c>
      <c r="W285" s="7"/>
      <c r="X285" s="7"/>
      <c r="Y285" s="29" t="s">
        <v>129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1077</v>
      </c>
      <c r="C286" s="4" t="s">
        <v>1078</v>
      </c>
      <c r="D286" s="7" t="s">
        <v>19</v>
      </c>
      <c r="E286" s="7" t="s">
        <v>20</v>
      </c>
      <c r="F286" s="7" t="s">
        <v>184</v>
      </c>
      <c r="G286" s="7" t="e">
        <f t="shared" ca="1" si="13"/>
        <v>#NAME?</v>
      </c>
      <c r="H286" s="24" t="s">
        <v>145</v>
      </c>
      <c r="I286" s="24" t="s">
        <v>146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333</v>
      </c>
      <c r="N286" s="26">
        <v>0.02</v>
      </c>
      <c r="O286" s="7" t="s">
        <v>39</v>
      </c>
      <c r="P286" s="27">
        <v>0.2</v>
      </c>
      <c r="Q286" s="28"/>
      <c r="R286" s="28" t="s">
        <v>1079</v>
      </c>
      <c r="S286" s="7" t="s">
        <v>127</v>
      </c>
      <c r="T286" s="7" t="s">
        <v>1080</v>
      </c>
      <c r="U286" s="7" t="s">
        <v>20</v>
      </c>
      <c r="V286" s="24" t="e">
        <f t="shared" ca="1" si="14"/>
        <v>#NAME?</v>
      </c>
      <c r="W286" s="7"/>
      <c r="X286" s="7"/>
      <c r="Y286" s="29" t="s">
        <v>129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1081</v>
      </c>
      <c r="C287" s="4" t="s">
        <v>1082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145</v>
      </c>
      <c r="I287" s="24" t="s">
        <v>208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127</v>
      </c>
      <c r="T287" s="7" t="s">
        <v>1083</v>
      </c>
      <c r="U287" s="7" t="s">
        <v>20</v>
      </c>
      <c r="V287" s="24" t="e">
        <f t="shared" ca="1" si="14"/>
        <v>#NAME?</v>
      </c>
      <c r="W287" s="7"/>
      <c r="X287" s="7"/>
      <c r="Y287" s="29" t="s">
        <v>129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1084</v>
      </c>
      <c r="C288" s="4" t="s">
        <v>1085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145</v>
      </c>
      <c r="I288" s="24" t="s">
        <v>208</v>
      </c>
      <c r="J288" s="7" t="str">
        <f t="shared" si="15"/>
        <v>Não</v>
      </c>
      <c r="K288" s="25">
        <v>45056</v>
      </c>
      <c r="L288" s="25"/>
      <c r="M288" s="7" t="s">
        <v>242</v>
      </c>
      <c r="N288" s="26">
        <v>2.5000000000000001E-2</v>
      </c>
      <c r="O288" s="7" t="s">
        <v>167</v>
      </c>
      <c r="P288" s="27">
        <v>0.2</v>
      </c>
      <c r="Q288" s="28"/>
      <c r="R288" s="28"/>
      <c r="S288" s="7" t="s">
        <v>127</v>
      </c>
      <c r="T288" s="7" t="s">
        <v>1083</v>
      </c>
      <c r="U288" s="7" t="s">
        <v>20</v>
      </c>
      <c r="V288" s="24" t="e">
        <f t="shared" ca="1" si="14"/>
        <v>#NAME?</v>
      </c>
      <c r="W288" s="7"/>
      <c r="X288" s="7"/>
      <c r="Y288" s="29" t="s">
        <v>129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1086</v>
      </c>
      <c r="C289" s="4" t="s">
        <v>1087</v>
      </c>
      <c r="D289" s="7" t="s">
        <v>71</v>
      </c>
      <c r="E289" s="7" t="s">
        <v>66</v>
      </c>
      <c r="F289" s="7" t="s">
        <v>72</v>
      </c>
      <c r="G289" s="7" t="e">
        <f t="shared" ca="1" si="13"/>
        <v>#NAME?</v>
      </c>
      <c r="H289" s="24" t="s">
        <v>134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1088</v>
      </c>
      <c r="R289" s="28"/>
      <c r="S289" s="7" t="s">
        <v>127</v>
      </c>
      <c r="T289" s="7" t="s">
        <v>1089</v>
      </c>
      <c r="U289" s="7" t="s">
        <v>66</v>
      </c>
      <c r="V289" s="24" t="e">
        <f t="shared" ca="1" si="14"/>
        <v>#NAME?</v>
      </c>
      <c r="W289" s="7"/>
      <c r="X289" s="7"/>
      <c r="Y289" s="29" t="s">
        <v>129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1086</v>
      </c>
      <c r="C290" s="60" t="s">
        <v>1090</v>
      </c>
      <c r="D290" s="7" t="s">
        <v>71</v>
      </c>
      <c r="E290" s="7" t="s">
        <v>66</v>
      </c>
      <c r="F290" s="7" t="s">
        <v>72</v>
      </c>
      <c r="G290" s="7" t="e">
        <f t="shared" ca="1" si="13"/>
        <v>#NAME?</v>
      </c>
      <c r="H290" s="24" t="s">
        <v>125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127</v>
      </c>
      <c r="T290" s="7" t="s">
        <v>1089</v>
      </c>
      <c r="U290" s="7" t="s">
        <v>66</v>
      </c>
      <c r="V290" s="24" t="e">
        <f t="shared" ca="1" si="14"/>
        <v>#NAME?</v>
      </c>
      <c r="W290" s="7"/>
      <c r="X290" s="7"/>
      <c r="Y290" s="29" t="s">
        <v>440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1091</v>
      </c>
      <c r="C291" s="39" t="s">
        <v>1092</v>
      </c>
      <c r="D291" s="7" t="s">
        <v>19</v>
      </c>
      <c r="E291" s="7" t="s">
        <v>66</v>
      </c>
      <c r="F291" s="7" t="s">
        <v>265</v>
      </c>
      <c r="G291" s="7" t="e">
        <f t="shared" ca="1" si="13"/>
        <v>#NAME?</v>
      </c>
      <c r="H291" s="24" t="s">
        <v>145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127</v>
      </c>
      <c r="T291" s="7" t="s">
        <v>1093</v>
      </c>
      <c r="U291" s="7" t="s">
        <v>66</v>
      </c>
      <c r="V291" s="24" t="e">
        <f t="shared" ca="1" si="14"/>
        <v>#NAME?</v>
      </c>
      <c r="W291" s="7"/>
      <c r="X291" s="7" t="s">
        <v>137</v>
      </c>
      <c r="Y291" s="29" t="s">
        <v>129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1094</v>
      </c>
      <c r="C292" s="89" t="s">
        <v>1095</v>
      </c>
      <c r="D292" s="7" t="s">
        <v>71</v>
      </c>
      <c r="E292" s="7" t="s">
        <v>66</v>
      </c>
      <c r="F292" s="7" t="s">
        <v>72</v>
      </c>
      <c r="G292" s="7" t="e">
        <f t="shared" ca="1" si="13"/>
        <v>#NAME?</v>
      </c>
      <c r="H292" s="24" t="s">
        <v>134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127</v>
      </c>
      <c r="T292" s="7" t="s">
        <v>1096</v>
      </c>
      <c r="U292" s="7" t="s">
        <v>66</v>
      </c>
      <c r="V292" s="24" t="e">
        <f t="shared" ca="1" si="14"/>
        <v>#NAME?</v>
      </c>
      <c r="W292" s="7"/>
      <c r="X292" s="7" t="s">
        <v>42</v>
      </c>
      <c r="Y292" s="29" t="s">
        <v>129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1097</v>
      </c>
      <c r="C293" s="4" t="s">
        <v>1098</v>
      </c>
      <c r="D293" s="7" t="s">
        <v>19</v>
      </c>
      <c r="E293" s="7" t="s">
        <v>20</v>
      </c>
      <c r="F293" s="7" t="s">
        <v>155</v>
      </c>
      <c r="G293" s="7" t="e">
        <f t="shared" ca="1" si="13"/>
        <v>#NAME?</v>
      </c>
      <c r="H293" s="24" t="s">
        <v>134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127</v>
      </c>
      <c r="T293" s="7" t="s">
        <v>1099</v>
      </c>
      <c r="U293" s="7" t="s">
        <v>20</v>
      </c>
      <c r="V293" s="24" t="e">
        <f t="shared" ca="1" si="14"/>
        <v>#NAME?</v>
      </c>
      <c r="W293" s="7"/>
      <c r="X293" s="7"/>
      <c r="Y293" s="29" t="s">
        <v>129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1100</v>
      </c>
      <c r="C294" s="4" t="s">
        <v>1101</v>
      </c>
      <c r="D294" s="7" t="s">
        <v>19</v>
      </c>
      <c r="E294" s="7" t="s">
        <v>35</v>
      </c>
      <c r="F294" s="7" t="s">
        <v>199</v>
      </c>
      <c r="G294" s="7" t="e">
        <f t="shared" ca="1" si="13"/>
        <v>#NAME?</v>
      </c>
      <c r="H294" s="24" t="s">
        <v>134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928</v>
      </c>
      <c r="S294" s="7" t="s">
        <v>127</v>
      </c>
      <c r="T294" s="7" t="s">
        <v>1102</v>
      </c>
      <c r="U294" s="7" t="s">
        <v>202</v>
      </c>
      <c r="V294" s="24" t="e">
        <f t="shared" ca="1" si="14"/>
        <v>#NAME?</v>
      </c>
      <c r="W294" s="7"/>
      <c r="X294" s="7"/>
      <c r="Y294" s="29" t="s">
        <v>129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1103</v>
      </c>
      <c r="C295" s="4" t="s">
        <v>1104</v>
      </c>
      <c r="D295" s="7" t="s">
        <v>19</v>
      </c>
      <c r="E295" s="7" t="s">
        <v>35</v>
      </c>
      <c r="F295" s="7" t="s">
        <v>199</v>
      </c>
      <c r="G295" s="7" t="e">
        <f t="shared" ca="1" si="13"/>
        <v>#NAME?</v>
      </c>
      <c r="H295" s="24" t="s">
        <v>134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1105</v>
      </c>
      <c r="S295" s="7" t="s">
        <v>127</v>
      </c>
      <c r="T295" s="7" t="s">
        <v>1106</v>
      </c>
      <c r="U295" s="24" t="s">
        <v>202</v>
      </c>
      <c r="V295" s="24" t="e">
        <f t="shared" ca="1" si="14"/>
        <v>#NAME?</v>
      </c>
      <c r="W295" s="7"/>
      <c r="X295" s="7"/>
      <c r="Y295" s="29" t="s">
        <v>129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1103</v>
      </c>
      <c r="C296" s="4" t="s">
        <v>1107</v>
      </c>
      <c r="D296" s="7" t="s">
        <v>19</v>
      </c>
      <c r="E296" s="7" t="s">
        <v>35</v>
      </c>
      <c r="F296" s="7" t="s">
        <v>199</v>
      </c>
      <c r="G296" s="7" t="e">
        <f t="shared" ca="1" si="13"/>
        <v>#NAME?</v>
      </c>
      <c r="H296" s="24" t="s">
        <v>145</v>
      </c>
      <c r="I296" s="24" t="s">
        <v>190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1108</v>
      </c>
      <c r="R296" s="28"/>
      <c r="S296" s="7" t="s">
        <v>127</v>
      </c>
      <c r="T296" s="7" t="s">
        <v>1106</v>
      </c>
      <c r="U296" s="24" t="s">
        <v>202</v>
      </c>
      <c r="V296" s="24" t="e">
        <f t="shared" ca="1" si="14"/>
        <v>#NAME?</v>
      </c>
      <c r="W296" s="7"/>
      <c r="X296" s="7"/>
      <c r="Y296" s="29" t="s">
        <v>129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1109</v>
      </c>
      <c r="C297" s="4" t="s">
        <v>1110</v>
      </c>
      <c r="D297" s="7" t="s">
        <v>46</v>
      </c>
      <c r="E297" s="7" t="s">
        <v>20</v>
      </c>
      <c r="F297" s="7" t="s">
        <v>948</v>
      </c>
      <c r="G297" s="7" t="e">
        <f t="shared" ca="1" si="13"/>
        <v>#NAME?</v>
      </c>
      <c r="H297" s="24" t="s">
        <v>134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1111</v>
      </c>
      <c r="R297" s="28" t="s">
        <v>1112</v>
      </c>
      <c r="S297" s="7" t="s">
        <v>127</v>
      </c>
      <c r="T297" s="7" t="s">
        <v>1113</v>
      </c>
      <c r="U297" s="7" t="s">
        <v>20</v>
      </c>
      <c r="V297" s="24" t="e">
        <f t="shared" ca="1" si="14"/>
        <v>#NAME?</v>
      </c>
      <c r="W297" s="7"/>
      <c r="X297" s="7"/>
      <c r="Y297" s="29" t="s">
        <v>129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1114</v>
      </c>
      <c r="C298" s="4" t="s">
        <v>1115</v>
      </c>
      <c r="D298" s="7" t="s">
        <v>34</v>
      </c>
      <c r="E298" s="7" t="s">
        <v>35</v>
      </c>
      <c r="F298" s="7" t="s">
        <v>1116</v>
      </c>
      <c r="G298" s="7" t="e">
        <f t="shared" ca="1" si="13"/>
        <v>#NAME?</v>
      </c>
      <c r="H298" s="24" t="s">
        <v>134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171</v>
      </c>
      <c r="T298" s="7" t="s">
        <v>1117</v>
      </c>
      <c r="U298" s="7" t="s">
        <v>202</v>
      </c>
      <c r="V298" s="24" t="e">
        <f t="shared" ca="1" si="14"/>
        <v>#NAME?</v>
      </c>
      <c r="W298" s="7"/>
      <c r="X298" s="7" t="s">
        <v>137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1118</v>
      </c>
      <c r="C299" s="4" t="s">
        <v>1119</v>
      </c>
      <c r="D299" s="7" t="s">
        <v>19</v>
      </c>
      <c r="E299" s="7" t="s">
        <v>66</v>
      </c>
      <c r="F299" s="7" t="s">
        <v>144</v>
      </c>
      <c r="G299" s="7" t="e">
        <f t="shared" ca="1" si="13"/>
        <v>#NAME?</v>
      </c>
      <c r="H299" s="24" t="s">
        <v>134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1120</v>
      </c>
      <c r="S299" s="7" t="s">
        <v>171</v>
      </c>
      <c r="T299" s="7" t="s">
        <v>1121</v>
      </c>
      <c r="U299" s="7" t="s">
        <v>66</v>
      </c>
      <c r="V299" s="24" t="e">
        <f t="shared" ca="1" si="14"/>
        <v>#NAME?</v>
      </c>
      <c r="W299" s="7"/>
      <c r="X299" s="7"/>
      <c r="Y299" s="29" t="s">
        <v>240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1122</v>
      </c>
      <c r="C300" s="4" t="s">
        <v>1123</v>
      </c>
      <c r="D300" s="7" t="s">
        <v>19</v>
      </c>
      <c r="E300" s="7" t="s">
        <v>35</v>
      </c>
      <c r="F300" s="7" t="s">
        <v>250</v>
      </c>
      <c r="G300" s="7" t="e">
        <f t="shared" ca="1" si="13"/>
        <v>#NAME?</v>
      </c>
      <c r="H300" s="24" t="s">
        <v>134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185</v>
      </c>
      <c r="N300" s="26">
        <v>1.4999999999999999E-2</v>
      </c>
      <c r="O300" s="7" t="s">
        <v>39</v>
      </c>
      <c r="P300" s="27">
        <v>0.1</v>
      </c>
      <c r="Q300" s="45"/>
      <c r="R300" s="28" t="s">
        <v>663</v>
      </c>
      <c r="S300" s="7" t="s">
        <v>127</v>
      </c>
      <c r="T300" s="7" t="s">
        <v>1124</v>
      </c>
      <c r="U300" s="7" t="s">
        <v>41</v>
      </c>
      <c r="V300" s="24" t="e">
        <f t="shared" ca="1" si="14"/>
        <v>#NAME?</v>
      </c>
      <c r="W300" s="7"/>
      <c r="X300" s="7"/>
      <c r="Y300" s="29" t="s">
        <v>129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1125</v>
      </c>
      <c r="C301" s="4" t="s">
        <v>1126</v>
      </c>
      <c r="D301" s="7" t="s">
        <v>19</v>
      </c>
      <c r="E301" s="7" t="s">
        <v>35</v>
      </c>
      <c r="F301" s="7" t="s">
        <v>199</v>
      </c>
      <c r="G301" s="7" t="e">
        <f t="shared" ca="1" si="13"/>
        <v>#NAME?</v>
      </c>
      <c r="H301" s="24" t="s">
        <v>145</v>
      </c>
      <c r="I301" s="24" t="s">
        <v>897</v>
      </c>
      <c r="J301" s="7" t="str">
        <f t="shared" si="15"/>
        <v>Não</v>
      </c>
      <c r="K301" s="25">
        <v>45162</v>
      </c>
      <c r="L301" s="25"/>
      <c r="M301" s="7" t="s">
        <v>185</v>
      </c>
      <c r="N301" s="26">
        <v>1.4999999999999999E-2</v>
      </c>
      <c r="O301" s="7" t="s">
        <v>39</v>
      </c>
      <c r="P301" s="27">
        <v>0.1</v>
      </c>
      <c r="Q301" s="45"/>
      <c r="R301" s="28" t="s">
        <v>1127</v>
      </c>
      <c r="S301" s="7" t="s">
        <v>127</v>
      </c>
      <c r="T301" s="7" t="s">
        <v>1128</v>
      </c>
      <c r="U301" s="7" t="s">
        <v>202</v>
      </c>
      <c r="V301" s="24" t="e">
        <f t="shared" ca="1" si="14"/>
        <v>#NAME?</v>
      </c>
      <c r="W301" s="7"/>
      <c r="X301" s="7"/>
      <c r="Y301" s="29" t="s">
        <v>129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1129</v>
      </c>
      <c r="C302" s="4" t="s">
        <v>1130</v>
      </c>
      <c r="D302" s="7" t="s">
        <v>19</v>
      </c>
      <c r="E302" s="7" t="s">
        <v>66</v>
      </c>
      <c r="F302" s="7" t="s">
        <v>316</v>
      </c>
      <c r="G302" s="7" t="e">
        <f t="shared" ca="1" si="13"/>
        <v>#NAME?</v>
      </c>
      <c r="H302" s="24" t="s">
        <v>145</v>
      </c>
      <c r="I302" s="24" t="s">
        <v>146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1131</v>
      </c>
      <c r="S302" s="7" t="s">
        <v>127</v>
      </c>
      <c r="T302" s="7" t="s">
        <v>1132</v>
      </c>
      <c r="U302" s="7" t="s">
        <v>20</v>
      </c>
      <c r="V302" s="24" t="e">
        <f t="shared" ca="1" si="14"/>
        <v>#NAME?</v>
      </c>
      <c r="W302" s="7"/>
      <c r="X302" s="7"/>
      <c r="Y302" s="29" t="s">
        <v>240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1133</v>
      </c>
      <c r="C303" s="4" t="s">
        <v>1134</v>
      </c>
      <c r="D303" s="7" t="s">
        <v>46</v>
      </c>
      <c r="E303" s="7" t="s">
        <v>20</v>
      </c>
      <c r="F303" s="7" t="s">
        <v>124</v>
      </c>
      <c r="G303" s="7" t="e">
        <f t="shared" ca="1" si="13"/>
        <v>#NAME?</v>
      </c>
      <c r="H303" s="24" t="s">
        <v>125</v>
      </c>
      <c r="I303" s="24" t="s">
        <v>25</v>
      </c>
      <c r="J303" s="7" t="s">
        <v>1135</v>
      </c>
      <c r="K303" s="25">
        <v>45392</v>
      </c>
      <c r="L303" s="79">
        <v>45525</v>
      </c>
      <c r="M303" s="7" t="s">
        <v>1136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127</v>
      </c>
      <c r="T303" s="7" t="s">
        <v>1137</v>
      </c>
      <c r="U303" s="7" t="s">
        <v>878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1138</v>
      </c>
      <c r="C304" s="4" t="s">
        <v>1139</v>
      </c>
      <c r="D304" s="7" t="s">
        <v>19</v>
      </c>
      <c r="E304" s="7" t="s">
        <v>66</v>
      </c>
      <c r="F304" s="7" t="s">
        <v>144</v>
      </c>
      <c r="G304" s="7" t="e">
        <f t="shared" ca="1" si="13"/>
        <v>#NAME?</v>
      </c>
      <c r="H304" s="24" t="s">
        <v>125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127</v>
      </c>
      <c r="T304" s="7" t="s">
        <v>1140</v>
      </c>
      <c r="U304" s="7" t="s">
        <v>66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1141</v>
      </c>
      <c r="C305" s="4" t="s">
        <v>1142</v>
      </c>
      <c r="D305" s="7" t="s">
        <v>19</v>
      </c>
      <c r="E305" s="7" t="s">
        <v>20</v>
      </c>
      <c r="F305" s="7" t="s">
        <v>184</v>
      </c>
      <c r="G305" s="7" t="e">
        <f t="shared" ca="1" si="13"/>
        <v>#NAME?</v>
      </c>
      <c r="H305" s="24" t="s">
        <v>145</v>
      </c>
      <c r="I305" s="24" t="s">
        <v>146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127</v>
      </c>
      <c r="T305" s="7" t="s">
        <v>1143</v>
      </c>
      <c r="U305" s="7" t="s">
        <v>878</v>
      </c>
      <c r="V305" s="24" t="e">
        <f t="shared" ca="1" si="14"/>
        <v>#NAME?</v>
      </c>
      <c r="W305" s="7"/>
      <c r="X305" s="7"/>
      <c r="Y305" s="29" t="s">
        <v>240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1144</v>
      </c>
      <c r="C306" s="4" t="s">
        <v>1145</v>
      </c>
      <c r="D306" s="7" t="s">
        <v>19</v>
      </c>
      <c r="E306" s="7" t="s">
        <v>20</v>
      </c>
      <c r="F306" s="7" t="s">
        <v>184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454</v>
      </c>
      <c r="N306" s="26">
        <v>8.0000000000000002E-3</v>
      </c>
      <c r="O306" s="7" t="s">
        <v>25</v>
      </c>
      <c r="P306" s="27">
        <v>0</v>
      </c>
      <c r="Q306" s="28" t="s">
        <v>1146</v>
      </c>
      <c r="R306" s="90"/>
      <c r="S306" s="7" t="s">
        <v>171</v>
      </c>
      <c r="T306" s="7" t="s">
        <v>1147</v>
      </c>
      <c r="U306" s="7" t="s">
        <v>20</v>
      </c>
      <c r="V306" s="24" t="e">
        <f t="shared" ca="1" si="14"/>
        <v>#NAME?</v>
      </c>
      <c r="W306" s="7"/>
      <c r="X306" s="7" t="s">
        <v>137</v>
      </c>
      <c r="Y306" s="29" t="s">
        <v>129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1148</v>
      </c>
      <c r="C307" s="4" t="s">
        <v>1149</v>
      </c>
      <c r="D307" s="7" t="s">
        <v>19</v>
      </c>
      <c r="E307" s="7" t="s">
        <v>35</v>
      </c>
      <c r="F307" s="7" t="s">
        <v>606</v>
      </c>
      <c r="G307" s="7" t="e">
        <f t="shared" ca="1" si="13"/>
        <v>#NAME?</v>
      </c>
      <c r="H307" s="24" t="s">
        <v>145</v>
      </c>
      <c r="I307" s="24" t="s">
        <v>146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1150</v>
      </c>
      <c r="S307" s="7" t="s">
        <v>127</v>
      </c>
      <c r="T307" s="7" t="s">
        <v>1151</v>
      </c>
      <c r="U307" s="7" t="s">
        <v>41</v>
      </c>
      <c r="V307" s="24" t="e">
        <f t="shared" ca="1" si="14"/>
        <v>#NAME?</v>
      </c>
      <c r="W307" s="7"/>
      <c r="X307" s="7"/>
      <c r="Y307" s="29" t="s">
        <v>129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1152</v>
      </c>
      <c r="C308" s="44" t="s">
        <v>1153</v>
      </c>
      <c r="D308" s="7" t="s">
        <v>19</v>
      </c>
      <c r="E308" s="7" t="s">
        <v>66</v>
      </c>
      <c r="F308" s="7" t="s">
        <v>144</v>
      </c>
      <c r="G308" s="7" t="e">
        <f t="shared" ca="1" si="13"/>
        <v>#NAME?</v>
      </c>
      <c r="H308" s="24" t="s">
        <v>125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171</v>
      </c>
      <c r="T308" s="7" t="s">
        <v>1154</v>
      </c>
      <c r="U308" s="7" t="s">
        <v>66</v>
      </c>
      <c r="V308" s="24" t="e">
        <f t="shared" ca="1" si="14"/>
        <v>#NAME?</v>
      </c>
      <c r="W308" s="7"/>
      <c r="X308" s="7"/>
      <c r="Y308" s="29" t="s">
        <v>129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1155</v>
      </c>
      <c r="C309" s="4" t="s">
        <v>1156</v>
      </c>
      <c r="D309" s="7" t="s">
        <v>19</v>
      </c>
      <c r="E309" s="7" t="s">
        <v>66</v>
      </c>
      <c r="F309" s="7" t="s">
        <v>144</v>
      </c>
      <c r="G309" s="7" t="e">
        <f t="shared" ca="1" si="13"/>
        <v>#NAME?</v>
      </c>
      <c r="H309" s="24" t="s">
        <v>145</v>
      </c>
      <c r="I309" s="24" t="s">
        <v>146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127</v>
      </c>
      <c r="T309" s="7" t="s">
        <v>1157</v>
      </c>
      <c r="U309" s="7" t="s">
        <v>66</v>
      </c>
      <c r="V309" s="24" t="e">
        <f t="shared" ca="1" si="14"/>
        <v>#NAME?</v>
      </c>
      <c r="W309" s="7"/>
      <c r="X309" s="7"/>
      <c r="Y309" s="29" t="s">
        <v>129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1158</v>
      </c>
      <c r="C310" s="4" t="s">
        <v>1159</v>
      </c>
      <c r="D310" s="7" t="s">
        <v>19</v>
      </c>
      <c r="E310" s="7" t="s">
        <v>20</v>
      </c>
      <c r="F310" s="7" t="s">
        <v>360</v>
      </c>
      <c r="G310" s="7" t="e">
        <f t="shared" ca="1" si="13"/>
        <v>#NAME?</v>
      </c>
      <c r="H310" s="24" t="s">
        <v>134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156</v>
      </c>
      <c r="N310" s="26">
        <v>0</v>
      </c>
      <c r="O310" s="7" t="s">
        <v>25</v>
      </c>
      <c r="P310" s="27">
        <v>0</v>
      </c>
      <c r="Q310" s="28"/>
      <c r="R310" s="28" t="s">
        <v>1160</v>
      </c>
      <c r="S310" s="7" t="s">
        <v>127</v>
      </c>
      <c r="T310" s="7" t="s">
        <v>1161</v>
      </c>
      <c r="U310" s="7" t="s">
        <v>20</v>
      </c>
      <c r="V310" s="24" t="e">
        <f t="shared" ca="1" si="14"/>
        <v>#NAME?</v>
      </c>
      <c r="W310" s="7"/>
      <c r="X310" s="7"/>
      <c r="Y310" s="29" t="s">
        <v>129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1162</v>
      </c>
      <c r="C311" s="34" t="s">
        <v>1163</v>
      </c>
      <c r="D311" s="7" t="s">
        <v>19</v>
      </c>
      <c r="E311" s="7" t="s">
        <v>35</v>
      </c>
      <c r="F311" s="9" t="s">
        <v>199</v>
      </c>
      <c r="G311" s="7" t="e">
        <f t="shared" ca="1" si="13"/>
        <v>#NAME?</v>
      </c>
      <c r="H311" s="24" t="s">
        <v>145</v>
      </c>
      <c r="I311" s="24" t="s">
        <v>146</v>
      </c>
      <c r="J311" s="7" t="str">
        <f t="shared" si="16"/>
        <v>Não</v>
      </c>
      <c r="K311" s="25">
        <v>45212</v>
      </c>
      <c r="L311" s="7"/>
      <c r="M311" s="7" t="s">
        <v>156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127</v>
      </c>
      <c r="T311" s="7" t="s">
        <v>1164</v>
      </c>
      <c r="U311" s="7" t="s">
        <v>202</v>
      </c>
      <c r="V311" s="24" t="e">
        <f t="shared" ca="1" si="14"/>
        <v>#NAME?</v>
      </c>
      <c r="W311" s="7"/>
      <c r="X311" s="7"/>
      <c r="Y311" s="29" t="s">
        <v>129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1165</v>
      </c>
      <c r="C312" s="34" t="s">
        <v>1166</v>
      </c>
      <c r="D312" s="7" t="s">
        <v>19</v>
      </c>
      <c r="E312" s="7" t="s">
        <v>20</v>
      </c>
      <c r="F312" s="9" t="s">
        <v>720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127</v>
      </c>
      <c r="T312" s="7" t="s">
        <v>1167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129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1168</v>
      </c>
      <c r="C313" s="34" t="s">
        <v>1169</v>
      </c>
      <c r="D313" s="7" t="s">
        <v>19</v>
      </c>
      <c r="E313" s="7" t="s">
        <v>20</v>
      </c>
      <c r="F313" s="9" t="s">
        <v>184</v>
      </c>
      <c r="G313" s="7" t="e">
        <f t="shared" ca="1" si="13"/>
        <v>#NAME?</v>
      </c>
      <c r="H313" s="24" t="s">
        <v>150</v>
      </c>
      <c r="I313" s="24" t="s">
        <v>208</v>
      </c>
      <c r="J313" s="7" t="str">
        <f t="shared" si="16"/>
        <v>Não</v>
      </c>
      <c r="K313" s="25">
        <v>45582</v>
      </c>
      <c r="L313" s="7"/>
      <c r="M313" s="7" t="s">
        <v>156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127</v>
      </c>
      <c r="T313" s="7" t="s">
        <v>1170</v>
      </c>
      <c r="U313" s="7" t="s">
        <v>20</v>
      </c>
      <c r="V313" s="24" t="e">
        <f t="shared" ca="1" si="14"/>
        <v>#NAME?</v>
      </c>
      <c r="W313" s="7"/>
      <c r="X313" s="7" t="s">
        <v>137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1171</v>
      </c>
      <c r="C314" s="4" t="s">
        <v>1172</v>
      </c>
      <c r="D314" s="7" t="s">
        <v>19</v>
      </c>
      <c r="E314" s="7" t="s">
        <v>66</v>
      </c>
      <c r="F314" s="7" t="s">
        <v>67</v>
      </c>
      <c r="G314" s="7" t="e">
        <f t="shared" ca="1" si="13"/>
        <v>#NAME?</v>
      </c>
      <c r="H314" s="24" t="s">
        <v>134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127</v>
      </c>
      <c r="T314" s="7" t="s">
        <v>1173</v>
      </c>
      <c r="U314" s="7" t="s">
        <v>66</v>
      </c>
      <c r="V314" s="24" t="e">
        <f t="shared" ca="1" si="14"/>
        <v>#NAME?</v>
      </c>
      <c r="W314" s="7"/>
      <c r="X314" s="7"/>
      <c r="Y314" s="29" t="s">
        <v>129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1174</v>
      </c>
      <c r="C315" s="41" t="s">
        <v>1175</v>
      </c>
      <c r="D315" s="7" t="s">
        <v>46</v>
      </c>
      <c r="E315" s="7" t="s">
        <v>20</v>
      </c>
      <c r="F315" s="7" t="s">
        <v>124</v>
      </c>
      <c r="G315" s="7" t="e">
        <f t="shared" ca="1" si="13"/>
        <v>#NAME?</v>
      </c>
      <c r="H315" s="24" t="s">
        <v>125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185</v>
      </c>
      <c r="N315" s="26">
        <v>0.01</v>
      </c>
      <c r="O315" s="7" t="s">
        <v>39</v>
      </c>
      <c r="P315" s="27">
        <v>0.1</v>
      </c>
      <c r="Q315" s="28"/>
      <c r="R315" s="90" t="s">
        <v>692</v>
      </c>
      <c r="S315" s="7" t="s">
        <v>127</v>
      </c>
      <c r="T315" s="7" t="s">
        <v>1176</v>
      </c>
      <c r="U315" s="7" t="s">
        <v>20</v>
      </c>
      <c r="V315" s="24" t="e">
        <f t="shared" ca="1" si="14"/>
        <v>#NAME?</v>
      </c>
      <c r="W315" s="7"/>
      <c r="X315" s="7"/>
      <c r="Y315" s="29" t="s">
        <v>129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1177</v>
      </c>
      <c r="C316" s="4" t="s">
        <v>1178</v>
      </c>
      <c r="D316" s="7" t="s">
        <v>46</v>
      </c>
      <c r="E316" s="7" t="s">
        <v>20</v>
      </c>
      <c r="F316" s="7" t="s">
        <v>189</v>
      </c>
      <c r="G316" s="7" t="e">
        <f t="shared" ca="1" si="13"/>
        <v>#NAME?</v>
      </c>
      <c r="H316" s="24" t="s">
        <v>145</v>
      </c>
      <c r="I316" s="24" t="s">
        <v>190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1179</v>
      </c>
      <c r="R316" s="90"/>
      <c r="S316" s="7" t="s">
        <v>127</v>
      </c>
      <c r="T316" s="7" t="s">
        <v>1180</v>
      </c>
      <c r="U316" s="7" t="s">
        <v>20</v>
      </c>
      <c r="V316" s="24" t="e">
        <f t="shared" ca="1" si="14"/>
        <v>#NAME?</v>
      </c>
      <c r="W316" s="7"/>
      <c r="X316" s="7"/>
      <c r="Y316" s="29" t="s">
        <v>129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1181</v>
      </c>
      <c r="C317" s="4" t="s">
        <v>1182</v>
      </c>
      <c r="D317" s="7" t="s">
        <v>19</v>
      </c>
      <c r="E317" s="7" t="s">
        <v>35</v>
      </c>
      <c r="F317" s="7" t="s">
        <v>250</v>
      </c>
      <c r="G317" s="7" t="e">
        <f t="shared" ca="1" si="13"/>
        <v>#NAME?</v>
      </c>
      <c r="H317" s="24" t="s">
        <v>134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185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127</v>
      </c>
      <c r="T317" s="7" t="s">
        <v>1183</v>
      </c>
      <c r="U317" s="7" t="s">
        <v>202</v>
      </c>
      <c r="V317" s="24" t="e">
        <f t="shared" ca="1" si="14"/>
        <v>#NAME?</v>
      </c>
      <c r="W317" s="7"/>
      <c r="X317" s="7"/>
      <c r="Y317" s="29" t="s">
        <v>129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1184</v>
      </c>
      <c r="C318" s="4" t="s">
        <v>1185</v>
      </c>
      <c r="D318" s="7" t="s">
        <v>19</v>
      </c>
      <c r="E318" s="7" t="s">
        <v>66</v>
      </c>
      <c r="F318" s="7" t="s">
        <v>265</v>
      </c>
      <c r="G318" s="7" t="e">
        <f t="shared" ca="1" si="13"/>
        <v>#NAME?</v>
      </c>
      <c r="H318" s="24" t="s">
        <v>134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127</v>
      </c>
      <c r="T318" s="7" t="s">
        <v>1186</v>
      </c>
      <c r="U318" s="7" t="s">
        <v>66</v>
      </c>
      <c r="V318" s="24" t="e">
        <f t="shared" ca="1" si="14"/>
        <v>#NAME?</v>
      </c>
      <c r="W318" s="7"/>
      <c r="X318" s="7"/>
      <c r="Y318" s="29" t="s">
        <v>240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1187</v>
      </c>
      <c r="C319" s="39" t="s">
        <v>1188</v>
      </c>
      <c r="D319" s="7" t="s">
        <v>19</v>
      </c>
      <c r="E319" s="7" t="s">
        <v>20</v>
      </c>
      <c r="F319" s="7" t="s">
        <v>195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127</v>
      </c>
      <c r="T319" s="12" t="s">
        <v>1189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129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1190</v>
      </c>
      <c r="C320" s="4" t="s">
        <v>1191</v>
      </c>
      <c r="D320" s="7" t="s">
        <v>19</v>
      </c>
      <c r="E320" s="7" t="s">
        <v>20</v>
      </c>
      <c r="F320" s="7" t="s">
        <v>360</v>
      </c>
      <c r="G320" s="7" t="e">
        <f t="shared" ca="1" si="13"/>
        <v>#NAME?</v>
      </c>
      <c r="H320" s="24" t="s">
        <v>134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127</v>
      </c>
      <c r="T320" s="7" t="s">
        <v>1192</v>
      </c>
      <c r="U320" s="119" t="s">
        <v>1193</v>
      </c>
      <c r="V320" s="24" t="e">
        <f t="shared" ca="1" si="14"/>
        <v>#NAME?</v>
      </c>
      <c r="W320" s="7"/>
      <c r="X320" s="7"/>
      <c r="Y320" s="29" t="s">
        <v>129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1194</v>
      </c>
      <c r="C321" s="39" t="s">
        <v>1195</v>
      </c>
      <c r="D321" s="7" t="s">
        <v>19</v>
      </c>
      <c r="E321" s="7" t="s">
        <v>66</v>
      </c>
      <c r="F321" s="7" t="s">
        <v>144</v>
      </c>
      <c r="G321" s="7" t="e">
        <f t="shared" ca="1" si="13"/>
        <v>#NAME?</v>
      </c>
      <c r="H321" s="24" t="s">
        <v>134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171</v>
      </c>
      <c r="T321" s="12" t="s">
        <v>1196</v>
      </c>
      <c r="U321" s="12" t="s">
        <v>66</v>
      </c>
      <c r="V321" s="24" t="e">
        <f t="shared" ca="1" si="14"/>
        <v>#NAME?</v>
      </c>
      <c r="W321" s="7"/>
      <c r="X321" s="7" t="s">
        <v>42</v>
      </c>
      <c r="Y321" s="29" t="s">
        <v>129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1197</v>
      </c>
      <c r="C322" s="44" t="s">
        <v>1198</v>
      </c>
      <c r="D322" s="7" t="s">
        <v>46</v>
      </c>
      <c r="E322" s="7" t="s">
        <v>20</v>
      </c>
      <c r="F322" s="7" t="s">
        <v>124</v>
      </c>
      <c r="G322" s="7" t="e">
        <f t="shared" ca="1" si="13"/>
        <v>#NAME?</v>
      </c>
      <c r="H322" s="24" t="s">
        <v>125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127</v>
      </c>
      <c r="T322" s="7" t="s">
        <v>1199</v>
      </c>
      <c r="U322" s="120" t="s">
        <v>20</v>
      </c>
      <c r="V322" s="24" t="e">
        <f t="shared" ca="1" si="14"/>
        <v>#NAME?</v>
      </c>
      <c r="W322" s="7"/>
      <c r="X322" s="7"/>
      <c r="Y322" s="29" t="s">
        <v>129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1200</v>
      </c>
      <c r="C323" s="4" t="s">
        <v>1201</v>
      </c>
      <c r="D323" s="7" t="s">
        <v>19</v>
      </c>
      <c r="E323" s="7" t="s">
        <v>66</v>
      </c>
      <c r="F323" s="7" t="s">
        <v>265</v>
      </c>
      <c r="G323" s="7" t="e">
        <f t="shared" ca="1" si="13"/>
        <v>#NAME?</v>
      </c>
      <c r="H323" s="24" t="s">
        <v>134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127</v>
      </c>
      <c r="T323" s="7" t="s">
        <v>1202</v>
      </c>
      <c r="U323" s="7" t="s">
        <v>66</v>
      </c>
      <c r="V323" s="24" t="e">
        <f t="shared" ca="1" si="14"/>
        <v>#NAME?</v>
      </c>
      <c r="W323" s="7"/>
      <c r="X323" s="7"/>
      <c r="Y323" s="29" t="s">
        <v>129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1203</v>
      </c>
      <c r="C324" s="4" t="s">
        <v>1204</v>
      </c>
      <c r="D324" s="7" t="s">
        <v>19</v>
      </c>
      <c r="E324" s="7" t="s">
        <v>35</v>
      </c>
      <c r="F324" s="7" t="s">
        <v>250</v>
      </c>
      <c r="G324" s="7" t="e">
        <f t="shared" ca="1" si="13"/>
        <v>#NAME?</v>
      </c>
      <c r="H324" s="24" t="s">
        <v>145</v>
      </c>
      <c r="I324" s="24" t="s">
        <v>146</v>
      </c>
      <c r="J324" s="7" t="str">
        <f t="shared" si="16"/>
        <v>Não</v>
      </c>
      <c r="K324" s="25">
        <v>45103</v>
      </c>
      <c r="L324" s="7"/>
      <c r="M324" s="7" t="s">
        <v>185</v>
      </c>
      <c r="N324" s="26">
        <v>1.4999999999999999E-2</v>
      </c>
      <c r="O324" s="7" t="s">
        <v>39</v>
      </c>
      <c r="P324" s="27">
        <v>0.1</v>
      </c>
      <c r="Q324" s="90"/>
      <c r="R324" s="82" t="s">
        <v>1205</v>
      </c>
      <c r="S324" s="7" t="s">
        <v>127</v>
      </c>
      <c r="T324" s="7" t="s">
        <v>1206</v>
      </c>
      <c r="U324" s="7" t="s">
        <v>878</v>
      </c>
      <c r="V324" s="24" t="e">
        <f t="shared" ca="1" si="14"/>
        <v>#NAME?</v>
      </c>
      <c r="W324" s="7"/>
      <c r="X324" s="7"/>
      <c r="Y324" s="29" t="s">
        <v>129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1207</v>
      </c>
      <c r="C325" s="4" t="s">
        <v>1208</v>
      </c>
      <c r="D325" s="7" t="s">
        <v>19</v>
      </c>
      <c r="E325" s="7" t="s">
        <v>66</v>
      </c>
      <c r="F325" s="7" t="s">
        <v>144</v>
      </c>
      <c r="G325" s="7" t="e">
        <f t="shared" ca="1" si="13"/>
        <v>#NAME?</v>
      </c>
      <c r="H325" s="24" t="s">
        <v>134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175</v>
      </c>
      <c r="N325" s="26">
        <v>1.2E-2</v>
      </c>
      <c r="O325" s="7" t="s">
        <v>39</v>
      </c>
      <c r="P325" s="27">
        <v>0.1</v>
      </c>
      <c r="Q325" s="116" t="s">
        <v>1209</v>
      </c>
      <c r="R325" s="121" t="s">
        <v>1210</v>
      </c>
      <c r="S325" s="7" t="s">
        <v>127</v>
      </c>
      <c r="T325" s="7" t="s">
        <v>1211</v>
      </c>
      <c r="U325" s="7" t="s">
        <v>66</v>
      </c>
      <c r="V325" s="24" t="e">
        <f t="shared" ca="1" si="14"/>
        <v>#NAME?</v>
      </c>
      <c r="W325" s="7"/>
      <c r="X325" s="7"/>
      <c r="Y325" s="29" t="s">
        <v>129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1212</v>
      </c>
      <c r="C326" s="4" t="s">
        <v>1213</v>
      </c>
      <c r="D326" s="7" t="s">
        <v>71</v>
      </c>
      <c r="E326" s="7" t="s">
        <v>66</v>
      </c>
      <c r="F326" s="7" t="s">
        <v>72</v>
      </c>
      <c r="G326" s="7" t="e">
        <f t="shared" ca="1" si="13"/>
        <v>#NAME?</v>
      </c>
      <c r="H326" s="24" t="s">
        <v>134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127</v>
      </c>
      <c r="T326" s="7" t="s">
        <v>1214</v>
      </c>
      <c r="U326" s="7" t="s">
        <v>66</v>
      </c>
      <c r="V326" s="24" t="e">
        <f t="shared" ca="1" si="14"/>
        <v>#NAME?</v>
      </c>
      <c r="W326" s="7"/>
      <c r="X326" s="7"/>
      <c r="Y326" s="29" t="s">
        <v>129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1215</v>
      </c>
      <c r="C327" s="41" t="s">
        <v>1216</v>
      </c>
      <c r="D327" s="7" t="s">
        <v>19</v>
      </c>
      <c r="E327" s="7" t="s">
        <v>35</v>
      </c>
      <c r="F327" s="7" t="s">
        <v>250</v>
      </c>
      <c r="G327" s="7" t="e">
        <f t="shared" ca="1" si="13"/>
        <v>#NAME?</v>
      </c>
      <c r="H327" s="24" t="s">
        <v>125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1205</v>
      </c>
      <c r="S327" s="7" t="s">
        <v>127</v>
      </c>
      <c r="T327" s="7" t="s">
        <v>1217</v>
      </c>
      <c r="U327" s="7" t="s">
        <v>202</v>
      </c>
      <c r="V327" s="24" t="e">
        <f t="shared" ca="1" si="14"/>
        <v>#NAME?</v>
      </c>
      <c r="W327" s="7"/>
      <c r="X327" s="7"/>
      <c r="Y327" s="29" t="s">
        <v>129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1218</v>
      </c>
      <c r="C328" s="39" t="s">
        <v>1219</v>
      </c>
      <c r="D328" s="7" t="s">
        <v>55</v>
      </c>
      <c r="E328" s="7" t="s">
        <v>20</v>
      </c>
      <c r="F328" s="7" t="s">
        <v>325</v>
      </c>
      <c r="G328" s="7" t="e">
        <f t="shared" ca="1" si="13"/>
        <v>#NAME?</v>
      </c>
      <c r="H328" s="24" t="s">
        <v>134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127</v>
      </c>
      <c r="T328" s="7" t="s">
        <v>1220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129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1221</v>
      </c>
      <c r="C329" s="4" t="s">
        <v>1222</v>
      </c>
      <c r="D329" s="7" t="s">
        <v>19</v>
      </c>
      <c r="E329" s="7" t="s">
        <v>20</v>
      </c>
      <c r="F329" s="7" t="s">
        <v>360</v>
      </c>
      <c r="G329" s="7" t="e">
        <f t="shared" ca="1" si="13"/>
        <v>#NAME?</v>
      </c>
      <c r="H329" s="24" t="s">
        <v>145</v>
      </c>
      <c r="I329" s="24" t="s">
        <v>146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127</v>
      </c>
      <c r="T329" s="7" t="s">
        <v>1223</v>
      </c>
      <c r="U329" s="7" t="s">
        <v>20</v>
      </c>
      <c r="V329" s="24" t="e">
        <f t="shared" ca="1" si="14"/>
        <v>#NAME?</v>
      </c>
      <c r="W329" s="7"/>
      <c r="X329" s="7"/>
      <c r="Y329" s="29" t="s">
        <v>129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1224</v>
      </c>
      <c r="C330" s="91" t="s">
        <v>1225</v>
      </c>
      <c r="D330" s="7" t="s">
        <v>19</v>
      </c>
      <c r="E330" s="7" t="s">
        <v>66</v>
      </c>
      <c r="F330" s="7" t="s">
        <v>144</v>
      </c>
      <c r="G330" s="7" t="e">
        <f t="shared" ca="1" si="13"/>
        <v>#NAME?</v>
      </c>
      <c r="H330" s="24" t="s">
        <v>145</v>
      </c>
      <c r="I330" s="24" t="s">
        <v>146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1226</v>
      </c>
      <c r="S330" s="7" t="s">
        <v>127</v>
      </c>
      <c r="T330" s="7" t="s">
        <v>1227</v>
      </c>
      <c r="U330" s="7" t="s">
        <v>66</v>
      </c>
      <c r="V330" s="24" t="e">
        <f t="shared" ca="1" si="14"/>
        <v>#NAME?</v>
      </c>
      <c r="W330" s="7"/>
      <c r="X330" s="7"/>
      <c r="Y330" s="29" t="s">
        <v>129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1228</v>
      </c>
      <c r="C331" s="4" t="s">
        <v>1229</v>
      </c>
      <c r="D331" s="7" t="s">
        <v>179</v>
      </c>
      <c r="E331" s="7" t="s">
        <v>20</v>
      </c>
      <c r="F331" s="7" t="s">
        <v>180</v>
      </c>
      <c r="G331" s="7" t="e">
        <f t="shared" ca="1" si="13"/>
        <v>#NAME?</v>
      </c>
      <c r="H331" s="24" t="s">
        <v>134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127</v>
      </c>
      <c r="T331" s="7" t="s">
        <v>1230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1231</v>
      </c>
      <c r="C332" s="4" t="s">
        <v>1232</v>
      </c>
      <c r="D332" s="7" t="s">
        <v>19</v>
      </c>
      <c r="E332" s="7" t="s">
        <v>66</v>
      </c>
      <c r="F332" s="7" t="s">
        <v>316</v>
      </c>
      <c r="G332" s="7" t="e">
        <f t="shared" ca="1" si="13"/>
        <v>#NAME?</v>
      </c>
      <c r="H332" s="24" t="s">
        <v>134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1233</v>
      </c>
      <c r="R332" s="90"/>
      <c r="S332" s="7" t="s">
        <v>127</v>
      </c>
      <c r="T332" s="6" t="s">
        <v>1234</v>
      </c>
      <c r="U332" s="7" t="s">
        <v>66</v>
      </c>
      <c r="V332" s="24" t="e">
        <f t="shared" ca="1" si="14"/>
        <v>#NAME?</v>
      </c>
      <c r="W332" s="7"/>
      <c r="X332" s="7"/>
      <c r="Y332" s="29" t="s">
        <v>129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1235</v>
      </c>
      <c r="C333" s="4" t="s">
        <v>1236</v>
      </c>
      <c r="D333" s="7" t="s">
        <v>71</v>
      </c>
      <c r="E333" s="7" t="s">
        <v>66</v>
      </c>
      <c r="F333" s="7" t="s">
        <v>72</v>
      </c>
      <c r="G333" s="7" t="e">
        <f t="shared" ca="1" si="13"/>
        <v>#NAME?</v>
      </c>
      <c r="H333" s="24" t="s">
        <v>134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127</v>
      </c>
      <c r="T333" s="6" t="s">
        <v>1237</v>
      </c>
      <c r="U333" s="7" t="s">
        <v>1238</v>
      </c>
      <c r="V333" s="24" t="e">
        <f t="shared" ca="1" si="14"/>
        <v>#NAME?</v>
      </c>
      <c r="W333" s="7"/>
      <c r="X333" s="7" t="s">
        <v>152</v>
      </c>
      <c r="Y333" s="29" t="s">
        <v>129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1239</v>
      </c>
      <c r="C334" s="4" t="s">
        <v>1240</v>
      </c>
      <c r="D334" s="7" t="s">
        <v>19</v>
      </c>
      <c r="E334" s="7" t="s">
        <v>66</v>
      </c>
      <c r="F334" s="7" t="s">
        <v>67</v>
      </c>
      <c r="G334" s="7" t="e">
        <f t="shared" ca="1" si="13"/>
        <v>#NAME?</v>
      </c>
      <c r="H334" s="24" t="s">
        <v>145</v>
      </c>
      <c r="I334" s="24" t="s">
        <v>208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171</v>
      </c>
      <c r="T334" s="7" t="s">
        <v>1241</v>
      </c>
      <c r="U334" s="7" t="s">
        <v>66</v>
      </c>
      <c r="V334" s="24" t="e">
        <f t="shared" ca="1" si="14"/>
        <v>#NAME?</v>
      </c>
      <c r="W334" s="7"/>
      <c r="X334" s="7"/>
      <c r="Y334" s="29" t="s">
        <v>129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1242</v>
      </c>
      <c r="C335" s="4" t="s">
        <v>1243</v>
      </c>
      <c r="D335" s="7" t="s">
        <v>19</v>
      </c>
      <c r="E335" s="7" t="s">
        <v>66</v>
      </c>
      <c r="F335" s="7" t="s">
        <v>144</v>
      </c>
      <c r="G335" s="7" t="e">
        <f t="shared" ca="1" si="13"/>
        <v>#NAME?</v>
      </c>
      <c r="H335" s="24" t="s">
        <v>134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175</v>
      </c>
      <c r="N335" s="26">
        <v>1.2E-2</v>
      </c>
      <c r="O335" s="7" t="s">
        <v>39</v>
      </c>
      <c r="P335" s="27">
        <v>0.1</v>
      </c>
      <c r="Q335" s="104"/>
      <c r="R335" s="28" t="s">
        <v>1244</v>
      </c>
      <c r="S335" s="7" t="s">
        <v>127</v>
      </c>
      <c r="T335" s="7" t="s">
        <v>1245</v>
      </c>
      <c r="U335" s="7" t="s">
        <v>66</v>
      </c>
      <c r="V335" s="24" t="e">
        <f t="shared" ca="1" si="14"/>
        <v>#NAME?</v>
      </c>
      <c r="W335" s="7"/>
      <c r="X335" s="7"/>
      <c r="Y335" s="29" t="s">
        <v>240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1246</v>
      </c>
      <c r="C336" s="4" t="s">
        <v>1247</v>
      </c>
      <c r="D336" s="7" t="s">
        <v>19</v>
      </c>
      <c r="E336" s="7" t="s">
        <v>66</v>
      </c>
      <c r="F336" s="7" t="s">
        <v>265</v>
      </c>
      <c r="G336" s="7" t="e">
        <f t="shared" ca="1" si="13"/>
        <v>#NAME?</v>
      </c>
      <c r="H336" s="24" t="s">
        <v>145</v>
      </c>
      <c r="I336" s="24" t="s">
        <v>146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127</v>
      </c>
      <c r="T336" s="7" t="s">
        <v>1248</v>
      </c>
      <c r="U336" s="7" t="s">
        <v>66</v>
      </c>
      <c r="V336" s="24" t="e">
        <f t="shared" ca="1" si="14"/>
        <v>#NAME?</v>
      </c>
      <c r="W336" s="7"/>
      <c r="X336" s="7"/>
      <c r="Y336" s="29" t="s">
        <v>129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1249</v>
      </c>
      <c r="C337" s="41" t="s">
        <v>1250</v>
      </c>
      <c r="D337" s="7" t="s">
        <v>19</v>
      </c>
      <c r="E337" s="7" t="s">
        <v>66</v>
      </c>
      <c r="F337" s="7" t="s">
        <v>67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Sim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 t="s">
        <v>1251</v>
      </c>
      <c r="R337" s="28" t="s">
        <v>1252</v>
      </c>
      <c r="S337" s="7" t="s">
        <v>127</v>
      </c>
      <c r="T337" s="7" t="s">
        <v>1253</v>
      </c>
      <c r="U337" s="7" t="s">
        <v>20</v>
      </c>
      <c r="V337" s="24" t="e">
        <f t="shared" ca="1" si="14"/>
        <v>#NAME?</v>
      </c>
      <c r="W337" s="7"/>
      <c r="X337" s="7" t="s">
        <v>152</v>
      </c>
      <c r="Y337" s="29" t="s">
        <v>129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1254</v>
      </c>
      <c r="C338" s="44" t="s">
        <v>1255</v>
      </c>
      <c r="D338" s="7" t="s">
        <v>46</v>
      </c>
      <c r="E338" s="7" t="s">
        <v>20</v>
      </c>
      <c r="F338" s="7" t="s">
        <v>124</v>
      </c>
      <c r="G338" s="7" t="e">
        <f t="shared" ca="1" si="13"/>
        <v>#NAME?</v>
      </c>
      <c r="H338" s="24" t="s">
        <v>145</v>
      </c>
      <c r="I338" s="24" t="s">
        <v>190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127</v>
      </c>
      <c r="T338" s="12" t="s">
        <v>1256</v>
      </c>
      <c r="U338" s="7" t="s">
        <v>20</v>
      </c>
      <c r="V338" s="24" t="e">
        <f t="shared" ca="1" si="14"/>
        <v>#NAME?</v>
      </c>
      <c r="W338" s="7"/>
      <c r="X338" s="7"/>
      <c r="Y338" s="29" t="s">
        <v>129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1257</v>
      </c>
      <c r="C339" s="4" t="s">
        <v>1258</v>
      </c>
      <c r="D339" s="7" t="s">
        <v>46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145</v>
      </c>
      <c r="I339" s="24" t="s">
        <v>190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1179</v>
      </c>
      <c r="R339" s="90"/>
      <c r="S339" s="7" t="s">
        <v>127</v>
      </c>
      <c r="T339" s="7" t="s">
        <v>1259</v>
      </c>
      <c r="U339" s="7" t="s">
        <v>48</v>
      </c>
      <c r="V339" s="24" t="e">
        <f t="shared" ca="1" si="14"/>
        <v>#NAME?</v>
      </c>
      <c r="W339" s="7"/>
      <c r="X339" s="7"/>
      <c r="Y339" s="29" t="s">
        <v>129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1260</v>
      </c>
      <c r="C340" s="44" t="s">
        <v>1261</v>
      </c>
      <c r="D340" s="7" t="s">
        <v>19</v>
      </c>
      <c r="E340" s="7" t="s">
        <v>35</v>
      </c>
      <c r="F340" s="7" t="s">
        <v>606</v>
      </c>
      <c r="G340" s="7" t="e">
        <f t="shared" ca="1" si="13"/>
        <v>#NAME?</v>
      </c>
      <c r="H340" s="24" t="s">
        <v>125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156</v>
      </c>
      <c r="N340" s="26">
        <v>0</v>
      </c>
      <c r="O340" s="7" t="s">
        <v>25</v>
      </c>
      <c r="P340" s="27">
        <v>0</v>
      </c>
      <c r="Q340" s="28"/>
      <c r="R340" s="28" t="s">
        <v>1262</v>
      </c>
      <c r="S340" s="7" t="s">
        <v>127</v>
      </c>
      <c r="T340" s="7" t="s">
        <v>1263</v>
      </c>
      <c r="U340" s="7" t="s">
        <v>202</v>
      </c>
      <c r="V340" s="24" t="e">
        <f t="shared" ca="1" si="14"/>
        <v>#NAME?</v>
      </c>
      <c r="W340" s="7"/>
      <c r="X340" s="7"/>
      <c r="Y340" s="29" t="s">
        <v>129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1264</v>
      </c>
      <c r="C341" s="72" t="s">
        <v>1265</v>
      </c>
      <c r="D341" s="7" t="s">
        <v>46</v>
      </c>
      <c r="E341" s="7" t="s">
        <v>20</v>
      </c>
      <c r="F341" s="7" t="s">
        <v>477</v>
      </c>
      <c r="G341" s="7" t="e">
        <f t="shared" ca="1" si="13"/>
        <v>#NAME?</v>
      </c>
      <c r="H341" s="24" t="s">
        <v>125</v>
      </c>
      <c r="I341" s="24" t="s">
        <v>25</v>
      </c>
      <c r="J341" s="7" t="s">
        <v>165</v>
      </c>
      <c r="K341" s="25">
        <v>45120</v>
      </c>
      <c r="L341" s="25">
        <v>45513</v>
      </c>
      <c r="M341" s="7" t="s">
        <v>272</v>
      </c>
      <c r="N341" s="51">
        <v>0.01</v>
      </c>
      <c r="O341" s="52" t="s">
        <v>39</v>
      </c>
      <c r="P341" s="53">
        <v>0.1</v>
      </c>
      <c r="Q341" s="28"/>
      <c r="R341" s="28" t="s">
        <v>692</v>
      </c>
      <c r="S341" s="7" t="s">
        <v>127</v>
      </c>
      <c r="T341" s="7" t="s">
        <v>1266</v>
      </c>
      <c r="U341" s="7" t="s">
        <v>20</v>
      </c>
      <c r="V341" s="24" t="e">
        <f t="shared" ca="1" si="14"/>
        <v>#NAME?</v>
      </c>
      <c r="W341" s="7"/>
      <c r="X341" s="7"/>
      <c r="Y341" s="29" t="s">
        <v>129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1267</v>
      </c>
      <c r="C342" s="39" t="s">
        <v>1268</v>
      </c>
      <c r="D342" s="7" t="s">
        <v>19</v>
      </c>
      <c r="E342" s="7" t="s">
        <v>20</v>
      </c>
      <c r="F342" s="7" t="s">
        <v>184</v>
      </c>
      <c r="G342" s="7" t="e">
        <f t="shared" ca="1" si="13"/>
        <v>#NAME?</v>
      </c>
      <c r="H342" s="24" t="s">
        <v>134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127</v>
      </c>
      <c r="T342" s="7" t="s">
        <v>1269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129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651</v>
      </c>
      <c r="C343" s="4" t="s">
        <v>1270</v>
      </c>
      <c r="D343" s="7" t="s">
        <v>19</v>
      </c>
      <c r="E343" s="7" t="s">
        <v>41</v>
      </c>
      <c r="F343" s="7" t="s">
        <v>651</v>
      </c>
      <c r="G343" s="7" t="e">
        <f t="shared" ca="1" si="13"/>
        <v>#NAME?</v>
      </c>
      <c r="H343" s="24" t="s">
        <v>145</v>
      </c>
      <c r="I343" s="24" t="s">
        <v>146</v>
      </c>
      <c r="J343" s="7" t="str">
        <f t="shared" si="17"/>
        <v>Não</v>
      </c>
      <c r="K343" s="25">
        <v>45056</v>
      </c>
      <c r="L343" s="25"/>
      <c r="M343" s="7" t="s">
        <v>185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127</v>
      </c>
      <c r="T343" s="7" t="s">
        <v>1271</v>
      </c>
      <c r="U343" s="7" t="s">
        <v>41</v>
      </c>
      <c r="V343" s="24" t="e">
        <f t="shared" ca="1" si="14"/>
        <v>#NAME?</v>
      </c>
      <c r="W343" s="7"/>
      <c r="X343" s="7"/>
      <c r="Y343" s="29" t="s">
        <v>129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1272</v>
      </c>
      <c r="C344" s="60" t="s">
        <v>1273</v>
      </c>
      <c r="D344" s="7" t="s">
        <v>19</v>
      </c>
      <c r="E344" s="7" t="s">
        <v>41</v>
      </c>
      <c r="F344" s="7" t="s">
        <v>651</v>
      </c>
      <c r="G344" s="7" t="e">
        <f t="shared" ca="1" si="13"/>
        <v>#NAME?</v>
      </c>
      <c r="H344" s="24" t="s">
        <v>145</v>
      </c>
      <c r="I344" s="24" t="s">
        <v>146</v>
      </c>
      <c r="J344" s="7" t="str">
        <f t="shared" si="17"/>
        <v>Não</v>
      </c>
      <c r="K344" s="25">
        <v>45162</v>
      </c>
      <c r="L344" s="25"/>
      <c r="M344" s="7" t="s">
        <v>185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127</v>
      </c>
      <c r="T344" s="7" t="s">
        <v>1271</v>
      </c>
      <c r="U344" s="7" t="s">
        <v>41</v>
      </c>
      <c r="V344" s="24" t="e">
        <f t="shared" ca="1" si="14"/>
        <v>#NAME?</v>
      </c>
      <c r="W344" s="7"/>
      <c r="X344" s="7"/>
      <c r="Y344" s="29" t="s">
        <v>129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1274</v>
      </c>
      <c r="C345" s="4" t="s">
        <v>1275</v>
      </c>
      <c r="D345" s="7" t="s">
        <v>19</v>
      </c>
      <c r="E345" s="7" t="s">
        <v>35</v>
      </c>
      <c r="F345" s="7" t="s">
        <v>199</v>
      </c>
      <c r="G345" s="7" t="e">
        <f t="shared" ca="1" si="13"/>
        <v>#NAME?</v>
      </c>
      <c r="H345" s="24" t="s">
        <v>134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185</v>
      </c>
      <c r="N345" s="26">
        <v>1.4999999999999999E-2</v>
      </c>
      <c r="O345" s="7" t="s">
        <v>39</v>
      </c>
      <c r="P345" s="27">
        <v>0.1</v>
      </c>
      <c r="Q345" s="23"/>
      <c r="R345" s="28" t="s">
        <v>1276</v>
      </c>
      <c r="S345" s="7" t="s">
        <v>127</v>
      </c>
      <c r="T345" s="7" t="s">
        <v>1277</v>
      </c>
      <c r="U345" s="7" t="s">
        <v>202</v>
      </c>
      <c r="V345" s="24" t="e">
        <f t="shared" ca="1" si="14"/>
        <v>#NAME?</v>
      </c>
      <c r="W345" s="7"/>
      <c r="X345" s="7"/>
      <c r="Y345" s="29" t="s">
        <v>129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1278</v>
      </c>
      <c r="C346" s="4" t="s">
        <v>1279</v>
      </c>
      <c r="D346" s="7" t="s">
        <v>19</v>
      </c>
      <c r="E346" s="7" t="s">
        <v>35</v>
      </c>
      <c r="F346" s="7" t="s">
        <v>199</v>
      </c>
      <c r="G346" s="7" t="e">
        <f t="shared" ca="1" si="13"/>
        <v>#NAME?</v>
      </c>
      <c r="H346" s="24" t="s">
        <v>145</v>
      </c>
      <c r="I346" s="24" t="s">
        <v>146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127</v>
      </c>
      <c r="T346" s="4" t="s">
        <v>1271</v>
      </c>
      <c r="U346" s="7" t="s">
        <v>202</v>
      </c>
      <c r="V346" s="24" t="e">
        <f t="shared" ca="1" si="14"/>
        <v>#NAME?</v>
      </c>
      <c r="W346" s="7"/>
      <c r="X346" s="7"/>
      <c r="Y346" s="29" t="s">
        <v>129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1280</v>
      </c>
      <c r="C347" s="4" t="s">
        <v>1281</v>
      </c>
      <c r="D347" s="7" t="s">
        <v>19</v>
      </c>
      <c r="E347" s="7" t="s">
        <v>35</v>
      </c>
      <c r="F347" s="7" t="s">
        <v>199</v>
      </c>
      <c r="G347" s="7" t="e">
        <f t="shared" ca="1" si="13"/>
        <v>#NAME?</v>
      </c>
      <c r="H347" s="24" t="s">
        <v>134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127</v>
      </c>
      <c r="T347" s="7" t="s">
        <v>1282</v>
      </c>
      <c r="U347" s="7" t="s">
        <v>202</v>
      </c>
      <c r="V347" s="24" t="e">
        <f t="shared" ca="1" si="14"/>
        <v>#NAME?</v>
      </c>
      <c r="W347" s="7"/>
      <c r="X347" s="7"/>
      <c r="Y347" s="29" t="s">
        <v>129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1283</v>
      </c>
      <c r="C348" s="89" t="s">
        <v>1284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145</v>
      </c>
      <c r="I348" s="24" t="s">
        <v>146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1285</v>
      </c>
      <c r="S348" s="7" t="s">
        <v>127</v>
      </c>
      <c r="T348" s="6" t="s">
        <v>1286</v>
      </c>
      <c r="U348" s="7" t="s">
        <v>20</v>
      </c>
      <c r="V348" s="24" t="e">
        <f t="shared" ca="1" si="14"/>
        <v>#NAME?</v>
      </c>
      <c r="W348" s="7"/>
      <c r="X348" s="7"/>
      <c r="Y348" s="29" t="s">
        <v>129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1287</v>
      </c>
      <c r="C349" s="89" t="s">
        <v>1288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134</v>
      </c>
      <c r="I349" s="24" t="s">
        <v>25</v>
      </c>
      <c r="J349" s="7" t="s">
        <v>165</v>
      </c>
      <c r="K349" s="25">
        <v>45464</v>
      </c>
      <c r="L349" s="25"/>
      <c r="M349" s="7" t="s">
        <v>1136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127</v>
      </c>
      <c r="T349" s="6" t="s">
        <v>1289</v>
      </c>
      <c r="U349" s="7" t="s">
        <v>20</v>
      </c>
      <c r="V349" s="24" t="e">
        <f t="shared" ca="1" si="14"/>
        <v>#NAME?</v>
      </c>
      <c r="W349" s="7"/>
      <c r="X349" s="7" t="s">
        <v>152</v>
      </c>
      <c r="Y349" s="29" t="s">
        <v>129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1287</v>
      </c>
      <c r="C350" s="89" t="s">
        <v>1290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134</v>
      </c>
      <c r="I350" s="24" t="s">
        <v>25</v>
      </c>
      <c r="J350" s="7" t="s">
        <v>165</v>
      </c>
      <c r="K350" s="25">
        <v>45421</v>
      </c>
      <c r="L350" s="25"/>
      <c r="M350" s="7" t="s">
        <v>587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127</v>
      </c>
      <c r="T350" s="6" t="s">
        <v>1289</v>
      </c>
      <c r="U350" s="7" t="s">
        <v>20</v>
      </c>
      <c r="V350" s="24" t="e">
        <f t="shared" ca="1" si="14"/>
        <v>#NAME?</v>
      </c>
      <c r="W350" s="7"/>
      <c r="X350" s="7" t="s">
        <v>152</v>
      </c>
      <c r="Y350" s="29" t="s">
        <v>129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1287</v>
      </c>
      <c r="C351" s="89" t="s">
        <v>1291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125</v>
      </c>
      <c r="I351" s="24" t="s">
        <v>25</v>
      </c>
      <c r="J351" s="7" t="s">
        <v>165</v>
      </c>
      <c r="K351" s="25">
        <v>45419</v>
      </c>
      <c r="L351" s="25">
        <v>45464</v>
      </c>
      <c r="M351" s="7" t="s">
        <v>1136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127</v>
      </c>
      <c r="T351" s="6" t="s">
        <v>1289</v>
      </c>
      <c r="U351" s="7" t="s">
        <v>20</v>
      </c>
      <c r="V351" s="24" t="e">
        <f t="shared" ca="1" si="14"/>
        <v>#NAME?</v>
      </c>
      <c r="W351" s="7"/>
      <c r="X351" s="7" t="s">
        <v>152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1292</v>
      </c>
      <c r="C352" s="4" t="s">
        <v>1293</v>
      </c>
      <c r="D352" s="7" t="s">
        <v>19</v>
      </c>
      <c r="E352" s="7" t="s">
        <v>35</v>
      </c>
      <c r="F352" s="7" t="s">
        <v>199</v>
      </c>
      <c r="G352" s="7" t="e">
        <f t="shared" ca="1" si="13"/>
        <v>#NAME?</v>
      </c>
      <c r="H352" s="24" t="s">
        <v>134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185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127</v>
      </c>
      <c r="T352" s="7" t="s">
        <v>1294</v>
      </c>
      <c r="U352" s="7" t="s">
        <v>202</v>
      </c>
      <c r="V352" s="24" t="e">
        <f t="shared" ca="1" si="14"/>
        <v>#NAME?</v>
      </c>
      <c r="W352" s="7"/>
      <c r="X352" s="7"/>
      <c r="Y352" s="29" t="s">
        <v>129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1292</v>
      </c>
      <c r="C353" s="46" t="s">
        <v>1295</v>
      </c>
      <c r="D353" s="7" t="s">
        <v>19</v>
      </c>
      <c r="E353" s="7" t="s">
        <v>35</v>
      </c>
      <c r="F353" s="7" t="s">
        <v>199</v>
      </c>
      <c r="G353" s="7" t="e">
        <f t="shared" ca="1" si="13"/>
        <v>#NAME?</v>
      </c>
      <c r="H353" s="24" t="s">
        <v>145</v>
      </c>
      <c r="I353" s="24" t="s">
        <v>146</v>
      </c>
      <c r="J353" s="7" t="str">
        <f t="shared" si="18"/>
        <v>Não</v>
      </c>
      <c r="K353" s="25">
        <v>45162</v>
      </c>
      <c r="L353" s="7"/>
      <c r="M353" s="7" t="s">
        <v>245</v>
      </c>
      <c r="N353" s="118">
        <v>8.0000000000000002E-3</v>
      </c>
      <c r="O353" s="7" t="s">
        <v>246</v>
      </c>
      <c r="P353" s="27">
        <v>0.1</v>
      </c>
      <c r="Q353" s="28"/>
      <c r="R353" s="28"/>
      <c r="S353" s="7" t="s">
        <v>127</v>
      </c>
      <c r="T353" s="7" t="s">
        <v>1294</v>
      </c>
      <c r="U353" s="7" t="s">
        <v>202</v>
      </c>
      <c r="V353" s="24" t="e">
        <f t="shared" ca="1" si="14"/>
        <v>#NAME?</v>
      </c>
      <c r="W353" s="7"/>
      <c r="X353" s="7"/>
      <c r="Y353" s="29" t="s">
        <v>440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1296</v>
      </c>
      <c r="C354" s="4" t="s">
        <v>1297</v>
      </c>
      <c r="D354" s="7" t="s">
        <v>19</v>
      </c>
      <c r="E354" s="7" t="s">
        <v>66</v>
      </c>
      <c r="F354" s="7" t="s">
        <v>265</v>
      </c>
      <c r="G354" s="7" t="e">
        <f t="shared" ca="1" si="13"/>
        <v>#NAME?</v>
      </c>
      <c r="H354" s="24" t="s">
        <v>145</v>
      </c>
      <c r="I354" s="24" t="s">
        <v>146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127</v>
      </c>
      <c r="T354" s="7" t="s">
        <v>1298</v>
      </c>
      <c r="U354" s="7" t="s">
        <v>66</v>
      </c>
      <c r="V354" s="24" t="e">
        <f t="shared" ca="1" si="14"/>
        <v>#NAME?</v>
      </c>
      <c r="W354" s="7"/>
      <c r="X354" s="7"/>
      <c r="Y354" s="29" t="s">
        <v>240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1299</v>
      </c>
      <c r="C355" s="4" t="s">
        <v>1300</v>
      </c>
      <c r="D355" s="7" t="s">
        <v>19</v>
      </c>
      <c r="E355" s="7" t="s">
        <v>20</v>
      </c>
      <c r="F355" s="7" t="s">
        <v>195</v>
      </c>
      <c r="G355" s="7" t="e">
        <f t="shared" ca="1" si="13"/>
        <v>#NAME?</v>
      </c>
      <c r="H355" s="24" t="s">
        <v>134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1301</v>
      </c>
      <c r="S355" s="7" t="s">
        <v>127</v>
      </c>
      <c r="T355" s="7" t="s">
        <v>1302</v>
      </c>
      <c r="U355" s="7" t="s">
        <v>878</v>
      </c>
      <c r="V355" s="24" t="e">
        <f t="shared" ca="1" si="14"/>
        <v>#NAME?</v>
      </c>
      <c r="W355" s="7"/>
      <c r="X355" s="7"/>
      <c r="Y355" s="29" t="s">
        <v>129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1299</v>
      </c>
      <c r="C356" s="4" t="s">
        <v>1303</v>
      </c>
      <c r="D356" s="7" t="s">
        <v>19</v>
      </c>
      <c r="E356" s="7" t="s">
        <v>20</v>
      </c>
      <c r="F356" s="7" t="s">
        <v>195</v>
      </c>
      <c r="G356" s="7" t="e">
        <f t="shared" ca="1" si="13"/>
        <v>#NAME?</v>
      </c>
      <c r="H356" s="24" t="s">
        <v>145</v>
      </c>
      <c r="I356" s="24" t="s">
        <v>146</v>
      </c>
      <c r="J356" s="7" t="str">
        <f t="shared" si="18"/>
        <v>Não</v>
      </c>
      <c r="K356" s="25">
        <v>45155</v>
      </c>
      <c r="L356" s="7"/>
      <c r="M356" s="7" t="s">
        <v>185</v>
      </c>
      <c r="N356" s="26">
        <v>1.4999999999999999E-2</v>
      </c>
      <c r="O356" s="7" t="s">
        <v>39</v>
      </c>
      <c r="P356" s="27">
        <v>0.1</v>
      </c>
      <c r="Q356" s="28"/>
      <c r="R356" s="28" t="s">
        <v>1301</v>
      </c>
      <c r="S356" s="7" t="s">
        <v>127</v>
      </c>
      <c r="T356" s="7" t="s">
        <v>1302</v>
      </c>
      <c r="U356" s="7" t="s">
        <v>878</v>
      </c>
      <c r="V356" s="24" t="e">
        <f t="shared" ca="1" si="14"/>
        <v>#NAME?</v>
      </c>
      <c r="W356" s="7"/>
      <c r="X356" s="7"/>
      <c r="Y356" s="29" t="s">
        <v>129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1304</v>
      </c>
      <c r="C357" s="4" t="s">
        <v>1305</v>
      </c>
      <c r="D357" s="7" t="s">
        <v>19</v>
      </c>
      <c r="E357" s="7" t="s">
        <v>66</v>
      </c>
      <c r="F357" s="7" t="s">
        <v>144</v>
      </c>
      <c r="G357" s="7" t="e">
        <f t="shared" ca="1" si="13"/>
        <v>#NAME?</v>
      </c>
      <c r="H357" s="24" t="s">
        <v>145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1306</v>
      </c>
      <c r="R357" s="28"/>
      <c r="S357" s="7" t="s">
        <v>127</v>
      </c>
      <c r="T357" s="7" t="s">
        <v>1307</v>
      </c>
      <c r="U357" s="7" t="s">
        <v>66</v>
      </c>
      <c r="V357" s="24" t="e">
        <f t="shared" ca="1" si="14"/>
        <v>#NAME?</v>
      </c>
      <c r="W357" s="7"/>
      <c r="X357" s="7"/>
      <c r="Y357" s="29" t="s">
        <v>129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1308</v>
      </c>
      <c r="C358" s="4" t="s">
        <v>1309</v>
      </c>
      <c r="D358" s="7" t="s">
        <v>19</v>
      </c>
      <c r="E358" s="7" t="s">
        <v>35</v>
      </c>
      <c r="F358" s="7" t="s">
        <v>250</v>
      </c>
      <c r="G358" s="7" t="e">
        <f t="shared" ca="1" si="13"/>
        <v>#NAME?</v>
      </c>
      <c r="H358" s="24" t="s">
        <v>134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1310</v>
      </c>
      <c r="N358" s="26">
        <v>1.4999999999999999E-2</v>
      </c>
      <c r="O358" s="7" t="s">
        <v>25</v>
      </c>
      <c r="P358" s="27">
        <v>0</v>
      </c>
      <c r="Q358" s="90"/>
      <c r="R358" s="28" t="s">
        <v>1311</v>
      </c>
      <c r="S358" s="7" t="s">
        <v>127</v>
      </c>
      <c r="T358" s="7" t="s">
        <v>1312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129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1313</v>
      </c>
      <c r="C359" s="4" t="s">
        <v>1314</v>
      </c>
      <c r="D359" s="7" t="s">
        <v>19</v>
      </c>
      <c r="E359" s="7" t="s">
        <v>20</v>
      </c>
      <c r="F359" s="7" t="s">
        <v>437</v>
      </c>
      <c r="G359" s="7" t="e">
        <f t="shared" ca="1" si="13"/>
        <v>#NAME?</v>
      </c>
      <c r="H359" s="24" t="s">
        <v>134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127</v>
      </c>
      <c r="T359" s="7" t="s">
        <v>1315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129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1313</v>
      </c>
      <c r="C360" s="4" t="s">
        <v>1316</v>
      </c>
      <c r="D360" s="7" t="s">
        <v>19</v>
      </c>
      <c r="E360" s="7" t="s">
        <v>20</v>
      </c>
      <c r="F360" s="7" t="s">
        <v>437</v>
      </c>
      <c r="G360" s="7" t="e">
        <f t="shared" ca="1" si="13"/>
        <v>#NAME?</v>
      </c>
      <c r="H360" s="24" t="s">
        <v>134</v>
      </c>
      <c r="I360" s="24" t="s">
        <v>146</v>
      </c>
      <c r="J360" s="7" t="str">
        <f t="shared" si="18"/>
        <v>Sim</v>
      </c>
      <c r="K360" s="25">
        <v>45470</v>
      </c>
      <c r="L360" s="7"/>
      <c r="M360" s="7" t="s">
        <v>242</v>
      </c>
      <c r="N360" s="26">
        <v>1.7999999999999999E-2</v>
      </c>
      <c r="O360" s="7" t="s">
        <v>167</v>
      </c>
      <c r="P360" s="27">
        <v>0.2</v>
      </c>
      <c r="Q360" s="28" t="s">
        <v>1317</v>
      </c>
      <c r="R360" s="90"/>
      <c r="S360" s="7" t="s">
        <v>127</v>
      </c>
      <c r="T360" s="7" t="s">
        <v>1315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129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1318</v>
      </c>
      <c r="C361" s="4" t="s">
        <v>1319</v>
      </c>
      <c r="D361" s="7" t="s">
        <v>19</v>
      </c>
      <c r="E361" s="7" t="s">
        <v>35</v>
      </c>
      <c r="F361" s="7" t="s">
        <v>199</v>
      </c>
      <c r="G361" s="7" t="e">
        <f t="shared" ca="1" si="13"/>
        <v>#NAME?</v>
      </c>
      <c r="H361" s="24" t="s">
        <v>134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185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127</v>
      </c>
      <c r="T361" s="7" t="s">
        <v>1320</v>
      </c>
      <c r="U361" s="7" t="s">
        <v>202</v>
      </c>
      <c r="V361" s="24" t="e">
        <f t="shared" ca="1" si="14"/>
        <v>#NAME?</v>
      </c>
      <c r="W361" s="7"/>
      <c r="X361" s="7"/>
      <c r="Y361" s="29" t="s">
        <v>129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1321</v>
      </c>
      <c r="C362" s="4" t="s">
        <v>1322</v>
      </c>
      <c r="D362" s="7" t="s">
        <v>19</v>
      </c>
      <c r="E362" s="7" t="s">
        <v>20</v>
      </c>
      <c r="F362" s="7" t="s">
        <v>360</v>
      </c>
      <c r="G362" s="7" t="e">
        <f t="shared" ca="1" si="13"/>
        <v>#NAME?</v>
      </c>
      <c r="H362" s="24" t="s">
        <v>134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127</v>
      </c>
      <c r="T362" s="7" t="s">
        <v>1323</v>
      </c>
      <c r="U362" s="7" t="s">
        <v>878</v>
      </c>
      <c r="V362" s="24" t="e">
        <f t="shared" ca="1" si="14"/>
        <v>#NAME?</v>
      </c>
      <c r="W362" s="7"/>
      <c r="X362" s="7"/>
      <c r="Y362" s="29" t="s">
        <v>129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1324</v>
      </c>
      <c r="C363" s="4" t="s">
        <v>1325</v>
      </c>
      <c r="D363" s="7" t="s">
        <v>19</v>
      </c>
      <c r="E363" s="7" t="s">
        <v>66</v>
      </c>
      <c r="F363" s="7" t="s">
        <v>265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171</v>
      </c>
      <c r="T363" s="7">
        <v>47341517000108</v>
      </c>
      <c r="U363" s="7" t="s">
        <v>66</v>
      </c>
      <c r="V363" s="24" t="e">
        <f t="shared" ca="1" si="14"/>
        <v>#NAME?</v>
      </c>
      <c r="W363" s="7"/>
      <c r="X363" s="7"/>
      <c r="Y363" s="29" t="s">
        <v>240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1326</v>
      </c>
      <c r="C364" s="4" t="s">
        <v>1327</v>
      </c>
      <c r="D364" s="7" t="s">
        <v>19</v>
      </c>
      <c r="E364" s="7" t="s">
        <v>35</v>
      </c>
      <c r="F364" s="7" t="s">
        <v>199</v>
      </c>
      <c r="G364" s="7" t="e">
        <f t="shared" ca="1" si="13"/>
        <v>#NAME?</v>
      </c>
      <c r="H364" s="24" t="s">
        <v>134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242</v>
      </c>
      <c r="N364" s="26">
        <v>1.4999999999999999E-2</v>
      </c>
      <c r="O364" s="7" t="s">
        <v>167</v>
      </c>
      <c r="P364" s="27">
        <v>0.2</v>
      </c>
      <c r="Q364" s="28"/>
      <c r="R364" s="28"/>
      <c r="S364" s="7" t="s">
        <v>127</v>
      </c>
      <c r="T364" s="7" t="s">
        <v>1328</v>
      </c>
      <c r="U364" s="7" t="s">
        <v>202</v>
      </c>
      <c r="V364" s="24" t="e">
        <f t="shared" ca="1" si="14"/>
        <v>#NAME?</v>
      </c>
      <c r="W364" s="7"/>
      <c r="X364" s="7"/>
      <c r="Y364" s="29" t="s">
        <v>129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1326</v>
      </c>
      <c r="C365" s="4" t="s">
        <v>1329</v>
      </c>
      <c r="D365" s="7" t="s">
        <v>19</v>
      </c>
      <c r="E365" s="7" t="s">
        <v>35</v>
      </c>
      <c r="F365" s="7" t="s">
        <v>199</v>
      </c>
      <c r="G365" s="7" t="e">
        <f t="shared" ca="1" si="13"/>
        <v>#NAME?</v>
      </c>
      <c r="H365" s="24" t="s">
        <v>134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127</v>
      </c>
      <c r="T365" s="7" t="s">
        <v>1328</v>
      </c>
      <c r="U365" s="7" t="s">
        <v>202</v>
      </c>
      <c r="V365" s="24" t="e">
        <f t="shared" ca="1" si="14"/>
        <v>#NAME?</v>
      </c>
      <c r="W365" s="7"/>
      <c r="X365" s="7"/>
      <c r="Y365" s="29" t="s">
        <v>129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1326</v>
      </c>
      <c r="C366" s="4" t="s">
        <v>1330</v>
      </c>
      <c r="D366" s="7" t="s">
        <v>19</v>
      </c>
      <c r="E366" s="7" t="s">
        <v>35</v>
      </c>
      <c r="F366" s="7" t="s">
        <v>199</v>
      </c>
      <c r="G366" s="7" t="e">
        <f t="shared" ca="1" si="13"/>
        <v>#NAME?</v>
      </c>
      <c r="H366" s="24" t="s">
        <v>125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242</v>
      </c>
      <c r="N366" s="26">
        <v>1.4999999999999999E-2</v>
      </c>
      <c r="O366" s="7" t="s">
        <v>167</v>
      </c>
      <c r="P366" s="27">
        <v>0.2</v>
      </c>
      <c r="Q366" s="78"/>
      <c r="R366" s="78"/>
      <c r="S366" s="7" t="s">
        <v>127</v>
      </c>
      <c r="T366" s="7" t="s">
        <v>1328</v>
      </c>
      <c r="U366" s="7" t="s">
        <v>202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1331</v>
      </c>
      <c r="C367" s="4" t="s">
        <v>1332</v>
      </c>
      <c r="D367" s="7" t="s">
        <v>55</v>
      </c>
      <c r="E367" s="7" t="s">
        <v>20</v>
      </c>
      <c r="F367" s="7" t="s">
        <v>325</v>
      </c>
      <c r="G367" s="7" t="e">
        <f t="shared" ca="1" si="13"/>
        <v>#NAME?</v>
      </c>
      <c r="H367" s="24" t="s">
        <v>134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129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1333</v>
      </c>
      <c r="C368" s="4" t="s">
        <v>1334</v>
      </c>
      <c r="D368" s="7" t="s">
        <v>19</v>
      </c>
      <c r="E368" s="7" t="s">
        <v>66</v>
      </c>
      <c r="F368" s="7" t="s">
        <v>316</v>
      </c>
      <c r="G368" s="7" t="e">
        <f t="shared" ca="1" si="13"/>
        <v>#NAME?</v>
      </c>
      <c r="H368" s="24" t="s">
        <v>145</v>
      </c>
      <c r="I368" s="24" t="s">
        <v>146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171</v>
      </c>
      <c r="T368" s="7" t="s">
        <v>1335</v>
      </c>
      <c r="U368" s="7" t="s">
        <v>66</v>
      </c>
      <c r="V368" s="24" t="e">
        <f t="shared" ca="1" si="14"/>
        <v>#NAME?</v>
      </c>
      <c r="W368" s="7"/>
      <c r="X368" s="7"/>
      <c r="Y368" s="29" t="s">
        <v>129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1333</v>
      </c>
      <c r="C369" s="4" t="s">
        <v>1336</v>
      </c>
      <c r="D369" s="7" t="s">
        <v>19</v>
      </c>
      <c r="E369" s="7" t="s">
        <v>66</v>
      </c>
      <c r="F369" s="7" t="s">
        <v>316</v>
      </c>
      <c r="G369" s="7" t="e">
        <f t="shared" ca="1" si="13"/>
        <v>#NAME?</v>
      </c>
      <c r="H369" s="24" t="s">
        <v>134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1337</v>
      </c>
      <c r="R369" s="28"/>
      <c r="S369" s="7" t="s">
        <v>171</v>
      </c>
      <c r="T369" s="7" t="s">
        <v>1338</v>
      </c>
      <c r="U369" s="7" t="s">
        <v>66</v>
      </c>
      <c r="V369" s="24" t="e">
        <f t="shared" ca="1" si="14"/>
        <v>#NAME?</v>
      </c>
      <c r="W369" s="7"/>
      <c r="X369" s="7"/>
      <c r="Y369" s="29" t="s">
        <v>129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1333</v>
      </c>
      <c r="C370" s="4" t="s">
        <v>1339</v>
      </c>
      <c r="D370" s="7" t="s">
        <v>19</v>
      </c>
      <c r="E370" s="7" t="s">
        <v>66</v>
      </c>
      <c r="F370" s="7" t="s">
        <v>316</v>
      </c>
      <c r="G370" s="7" t="e">
        <f t="shared" ca="1" si="13"/>
        <v>#NAME?</v>
      </c>
      <c r="H370" s="24" t="s">
        <v>134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171</v>
      </c>
      <c r="T370" s="7" t="s">
        <v>1340</v>
      </c>
      <c r="U370" s="7" t="s">
        <v>66</v>
      </c>
      <c r="V370" s="24" t="e">
        <f t="shared" ca="1" si="14"/>
        <v>#NAME?</v>
      </c>
      <c r="W370" s="7"/>
      <c r="X370" s="7"/>
      <c r="Y370" s="29" t="s">
        <v>129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1341</v>
      </c>
      <c r="C371" s="44" t="s">
        <v>1342</v>
      </c>
      <c r="D371" s="7" t="s">
        <v>46</v>
      </c>
      <c r="E371" s="7" t="s">
        <v>20</v>
      </c>
      <c r="F371" s="7" t="s">
        <v>124</v>
      </c>
      <c r="G371" s="7" t="e">
        <f t="shared" ca="1" si="13"/>
        <v>#NAME?</v>
      </c>
      <c r="H371" s="24" t="s">
        <v>125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692</v>
      </c>
      <c r="S371" s="7" t="s">
        <v>127</v>
      </c>
      <c r="T371" s="7" t="s">
        <v>1343</v>
      </c>
      <c r="U371" s="7" t="s">
        <v>41</v>
      </c>
      <c r="V371" s="24" t="e">
        <f t="shared" ca="1" si="14"/>
        <v>#NAME?</v>
      </c>
      <c r="W371" s="7"/>
      <c r="X371" s="7"/>
      <c r="Y371" s="29" t="s">
        <v>240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1344</v>
      </c>
      <c r="C372" s="44" t="s">
        <v>1345</v>
      </c>
      <c r="D372" s="7" t="s">
        <v>19</v>
      </c>
      <c r="E372" s="7" t="s">
        <v>20</v>
      </c>
      <c r="F372" s="7" t="s">
        <v>184</v>
      </c>
      <c r="G372" s="7" t="e">
        <f t="shared" ca="1" si="13"/>
        <v>#NAME?</v>
      </c>
      <c r="H372" s="24" t="s">
        <v>134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127</v>
      </c>
      <c r="T372" s="7" t="s">
        <v>1346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1347</v>
      </c>
      <c r="C373" s="4" t="s">
        <v>1348</v>
      </c>
      <c r="D373" s="7" t="s">
        <v>19</v>
      </c>
      <c r="E373" s="7" t="s">
        <v>66</v>
      </c>
      <c r="F373" s="7" t="s">
        <v>144</v>
      </c>
      <c r="G373" s="7" t="e">
        <f t="shared" ca="1" si="13"/>
        <v>#NAME?</v>
      </c>
      <c r="H373" s="24" t="s">
        <v>134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175</v>
      </c>
      <c r="N373" s="26">
        <v>1.2E-2</v>
      </c>
      <c r="O373" s="7" t="s">
        <v>39</v>
      </c>
      <c r="P373" s="27">
        <v>0.1</v>
      </c>
      <c r="Q373" s="136"/>
      <c r="R373" s="28" t="s">
        <v>1349</v>
      </c>
      <c r="S373" s="7" t="s">
        <v>127</v>
      </c>
      <c r="T373" s="7" t="s">
        <v>1350</v>
      </c>
      <c r="U373" s="7" t="s">
        <v>66</v>
      </c>
      <c r="V373" s="24" t="e">
        <f t="shared" ca="1" si="14"/>
        <v>#NAME?</v>
      </c>
      <c r="W373" s="7"/>
      <c r="X373" s="7"/>
      <c r="Y373" s="29" t="s">
        <v>129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1351</v>
      </c>
      <c r="C374" s="4" t="s">
        <v>1352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134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454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171</v>
      </c>
      <c r="T374" s="7" t="s">
        <v>1353</v>
      </c>
      <c r="U374" s="7" t="s">
        <v>20</v>
      </c>
      <c r="V374" s="24" t="e">
        <f t="shared" ca="1" si="14"/>
        <v>#NAME?</v>
      </c>
      <c r="W374" s="7"/>
      <c r="X374" s="7"/>
      <c r="Y374" s="29" t="s">
        <v>129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1354</v>
      </c>
      <c r="C375" s="4" t="s">
        <v>1355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134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127</v>
      </c>
      <c r="T375" s="7" t="s">
        <v>1356</v>
      </c>
      <c r="U375" s="7" t="s">
        <v>20</v>
      </c>
      <c r="V375" s="24" t="e">
        <f t="shared" ca="1" si="14"/>
        <v>#NAME?</v>
      </c>
      <c r="W375" s="7"/>
      <c r="X375" s="7"/>
      <c r="Y375" s="29" t="s">
        <v>129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1357</v>
      </c>
      <c r="C376" s="4" t="s">
        <v>1358</v>
      </c>
      <c r="D376" s="7" t="s">
        <v>19</v>
      </c>
      <c r="E376" s="7" t="s">
        <v>66</v>
      </c>
      <c r="F376" s="7" t="s">
        <v>67</v>
      </c>
      <c r="G376" s="7" t="e">
        <f t="shared" ca="1" si="13"/>
        <v>#NAME?</v>
      </c>
      <c r="H376" s="24" t="s">
        <v>134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127</v>
      </c>
      <c r="T376" s="7" t="s">
        <v>1359</v>
      </c>
      <c r="U376" s="7" t="s">
        <v>66</v>
      </c>
      <c r="V376" s="24" t="e">
        <f t="shared" ca="1" si="14"/>
        <v>#NAME?</v>
      </c>
      <c r="W376" s="7"/>
      <c r="X376" s="7"/>
      <c r="Y376" s="29" t="s">
        <v>129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1360</v>
      </c>
      <c r="C377" s="4" t="s">
        <v>1361</v>
      </c>
      <c r="D377" s="7" t="s">
        <v>19</v>
      </c>
      <c r="E377" s="7" t="s">
        <v>66</v>
      </c>
      <c r="F377" s="7" t="s">
        <v>144</v>
      </c>
      <c r="G377" s="7" t="e">
        <f t="shared" ca="1" si="13"/>
        <v>#NAME?</v>
      </c>
      <c r="H377" s="24" t="s">
        <v>134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127</v>
      </c>
      <c r="T377" s="7" t="s">
        <v>1362</v>
      </c>
      <c r="U377" s="7" t="s">
        <v>66</v>
      </c>
      <c r="V377" s="24" t="e">
        <f t="shared" ca="1" si="14"/>
        <v>#NAME?</v>
      </c>
      <c r="W377" s="7"/>
      <c r="X377" s="7" t="s">
        <v>137</v>
      </c>
      <c r="Y377" s="29" t="s">
        <v>129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1363</v>
      </c>
      <c r="C378" s="4" t="s">
        <v>1364</v>
      </c>
      <c r="D378" s="7" t="s">
        <v>19</v>
      </c>
      <c r="E378" s="7" t="s">
        <v>20</v>
      </c>
      <c r="F378" s="7" t="s">
        <v>184</v>
      </c>
      <c r="G378" s="7" t="e">
        <f t="shared" ca="1" si="13"/>
        <v>#NAME?</v>
      </c>
      <c r="H378" s="24" t="s">
        <v>134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127</v>
      </c>
      <c r="T378" s="7" t="s">
        <v>1365</v>
      </c>
      <c r="U378" s="7" t="s">
        <v>20</v>
      </c>
      <c r="V378" s="24" t="e">
        <f t="shared" ca="1" si="14"/>
        <v>#NAME?</v>
      </c>
      <c r="W378" s="7"/>
      <c r="X378" s="7"/>
      <c r="Y378" s="29" t="s">
        <v>129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1366</v>
      </c>
      <c r="C379" s="4" t="s">
        <v>1367</v>
      </c>
      <c r="D379" s="7" t="s">
        <v>19</v>
      </c>
      <c r="E379" s="7" t="s">
        <v>35</v>
      </c>
      <c r="F379" s="7" t="s">
        <v>199</v>
      </c>
      <c r="G379" s="7" t="e">
        <f t="shared" ca="1" si="13"/>
        <v>#NAME?</v>
      </c>
      <c r="H379" s="24" t="s">
        <v>134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127</v>
      </c>
      <c r="T379" s="7" t="s">
        <v>1368</v>
      </c>
      <c r="U379" s="7" t="s">
        <v>202</v>
      </c>
      <c r="V379" s="24" t="e">
        <f t="shared" ca="1" si="14"/>
        <v>#NAME?</v>
      </c>
      <c r="W379" s="7"/>
      <c r="X379" s="7"/>
      <c r="Y379" s="29" t="s">
        <v>129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1369</v>
      </c>
      <c r="C380" s="4" t="s">
        <v>1370</v>
      </c>
      <c r="D380" s="7" t="s">
        <v>19</v>
      </c>
      <c r="E380" s="7" t="s">
        <v>35</v>
      </c>
      <c r="F380" s="7" t="s">
        <v>199</v>
      </c>
      <c r="G380" s="7" t="e">
        <f t="shared" ca="1" si="13"/>
        <v>#NAME?</v>
      </c>
      <c r="H380" s="24" t="s">
        <v>134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242</v>
      </c>
      <c r="N380" s="26">
        <v>1.4999999999999999E-2</v>
      </c>
      <c r="O380" s="7" t="s">
        <v>167</v>
      </c>
      <c r="P380" s="27">
        <v>0.2</v>
      </c>
      <c r="Q380" s="90"/>
      <c r="R380" s="90"/>
      <c r="S380" s="7" t="s">
        <v>127</v>
      </c>
      <c r="T380" s="7" t="s">
        <v>1368</v>
      </c>
      <c r="U380" s="7" t="s">
        <v>202</v>
      </c>
      <c r="V380" s="24" t="e">
        <f t="shared" ca="1" si="14"/>
        <v>#NAME?</v>
      </c>
      <c r="W380" s="7"/>
      <c r="X380" s="7"/>
      <c r="Y380" s="29" t="s">
        <v>129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1371</v>
      </c>
      <c r="C381" s="4" t="s">
        <v>1372</v>
      </c>
      <c r="D381" s="7" t="s">
        <v>19</v>
      </c>
      <c r="E381" s="7" t="s">
        <v>20</v>
      </c>
      <c r="F381" s="7" t="s">
        <v>360</v>
      </c>
      <c r="G381" s="7" t="e">
        <f t="shared" ca="1" si="13"/>
        <v>#NAME?</v>
      </c>
      <c r="H381" s="24" t="s">
        <v>145</v>
      </c>
      <c r="I381" s="24" t="s">
        <v>146</v>
      </c>
      <c r="J381" s="7" t="str">
        <f t="shared" si="18"/>
        <v>Não</v>
      </c>
      <c r="K381" s="25">
        <v>45020</v>
      </c>
      <c r="L381" s="7"/>
      <c r="M381" s="7" t="s">
        <v>185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127</v>
      </c>
      <c r="T381" s="7" t="s">
        <v>1373</v>
      </c>
      <c r="U381" s="7" t="s">
        <v>20</v>
      </c>
      <c r="V381" s="24" t="e">
        <f t="shared" ca="1" si="14"/>
        <v>#NAME?</v>
      </c>
      <c r="W381" s="7"/>
      <c r="X381" s="7"/>
      <c r="Y381" s="29" t="s">
        <v>129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1374</v>
      </c>
      <c r="C382" s="4" t="s">
        <v>1375</v>
      </c>
      <c r="D382" s="7" t="s">
        <v>46</v>
      </c>
      <c r="E382" s="7" t="s">
        <v>20</v>
      </c>
      <c r="F382" s="7" t="s">
        <v>124</v>
      </c>
      <c r="G382" s="7" t="e">
        <f t="shared" ca="1" si="13"/>
        <v>#NAME?</v>
      </c>
      <c r="H382" s="24" t="s">
        <v>145</v>
      </c>
      <c r="I382" s="24" t="s">
        <v>229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127</v>
      </c>
      <c r="T382" s="7" t="s">
        <v>1376</v>
      </c>
      <c r="U382" s="7" t="s">
        <v>20</v>
      </c>
      <c r="V382" s="24" t="e">
        <f t="shared" ca="1" si="14"/>
        <v>#NAME?</v>
      </c>
      <c r="W382" s="7"/>
      <c r="X382" s="7"/>
      <c r="Y382" s="29" t="s">
        <v>240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1377</v>
      </c>
      <c r="C383" s="46" t="s">
        <v>1378</v>
      </c>
      <c r="D383" s="7" t="s">
        <v>19</v>
      </c>
      <c r="E383" s="7" t="s">
        <v>66</v>
      </c>
      <c r="F383" s="7" t="s">
        <v>144</v>
      </c>
      <c r="G383" s="7" t="e">
        <f t="shared" ca="1" si="13"/>
        <v>#NAME?</v>
      </c>
      <c r="H383" s="24" t="s">
        <v>134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175</v>
      </c>
      <c r="N383" s="26">
        <v>1.2E-2</v>
      </c>
      <c r="O383" s="7" t="s">
        <v>39</v>
      </c>
      <c r="P383" s="27">
        <v>0.1</v>
      </c>
      <c r="Q383" s="90"/>
      <c r="R383" s="28" t="s">
        <v>1379</v>
      </c>
      <c r="S383" s="7" t="s">
        <v>127</v>
      </c>
      <c r="T383" s="7" t="s">
        <v>1380</v>
      </c>
      <c r="U383" s="7" t="s">
        <v>66</v>
      </c>
      <c r="V383" s="24" t="e">
        <f t="shared" ca="1" si="14"/>
        <v>#NAME?</v>
      </c>
      <c r="W383" s="7"/>
      <c r="X383" s="7"/>
      <c r="Y383" s="29" t="s">
        <v>129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1381</v>
      </c>
      <c r="C384" s="46" t="s">
        <v>1382</v>
      </c>
      <c r="D384" s="7" t="s">
        <v>19</v>
      </c>
      <c r="E384" s="7" t="s">
        <v>66</v>
      </c>
      <c r="F384" s="7" t="s">
        <v>144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127</v>
      </c>
      <c r="T384" s="7" t="s">
        <v>1383</v>
      </c>
      <c r="U384" s="7" t="s">
        <v>66</v>
      </c>
      <c r="V384" s="24" t="e">
        <f t="shared" ca="1" si="14"/>
        <v>#NAME?</v>
      </c>
      <c r="W384" s="7"/>
      <c r="X384" s="7" t="s">
        <v>137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1384</v>
      </c>
      <c r="C385" s="4" t="s">
        <v>1385</v>
      </c>
      <c r="D385" s="7" t="s">
        <v>19</v>
      </c>
      <c r="E385" s="7" t="s">
        <v>35</v>
      </c>
      <c r="F385" s="7" t="s">
        <v>199</v>
      </c>
      <c r="G385" s="7" t="e">
        <f t="shared" ca="1" si="13"/>
        <v>#NAME?</v>
      </c>
      <c r="H385" s="24" t="s">
        <v>134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127</v>
      </c>
      <c r="T385" s="7" t="s">
        <v>1386</v>
      </c>
      <c r="U385" s="7" t="s">
        <v>202</v>
      </c>
      <c r="V385" s="24" t="e">
        <f t="shared" ca="1" si="14"/>
        <v>#NAME?</v>
      </c>
      <c r="W385" s="7"/>
      <c r="X385" s="7"/>
      <c r="Y385" s="29" t="s">
        <v>129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1387</v>
      </c>
      <c r="C386" s="4" t="s">
        <v>1388</v>
      </c>
      <c r="D386" s="7" t="s">
        <v>19</v>
      </c>
      <c r="E386" s="7" t="s">
        <v>20</v>
      </c>
      <c r="F386" s="7" t="s">
        <v>437</v>
      </c>
      <c r="G386" s="7" t="e">
        <f t="shared" ca="1" si="13"/>
        <v>#NAME?</v>
      </c>
      <c r="H386" s="24" t="s">
        <v>145</v>
      </c>
      <c r="I386" s="24" t="s">
        <v>146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1389</v>
      </c>
      <c r="S386" s="7" t="s">
        <v>171</v>
      </c>
      <c r="T386" s="7" t="s">
        <v>1390</v>
      </c>
      <c r="U386" s="7" t="s">
        <v>48</v>
      </c>
      <c r="V386" s="24" t="e">
        <f t="shared" ca="1" si="14"/>
        <v>#NAME?</v>
      </c>
      <c r="W386" s="7"/>
      <c r="X386" s="7"/>
      <c r="Y386" s="29" t="s">
        <v>129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1391</v>
      </c>
      <c r="C387" s="4" t="s">
        <v>1392</v>
      </c>
      <c r="D387" s="7" t="s">
        <v>46</v>
      </c>
      <c r="E387" s="7" t="s">
        <v>20</v>
      </c>
      <c r="F387" s="7" t="s">
        <v>477</v>
      </c>
      <c r="G387" s="7" t="e">
        <f t="shared" ca="1" si="13"/>
        <v>#NAME?</v>
      </c>
      <c r="H387" s="24" t="s">
        <v>125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1001</v>
      </c>
      <c r="N387" s="26">
        <v>0.01</v>
      </c>
      <c r="O387" s="7" t="s">
        <v>39</v>
      </c>
      <c r="P387" s="27">
        <v>0.1</v>
      </c>
      <c r="Q387" s="28"/>
      <c r="R387" s="45" t="s">
        <v>692</v>
      </c>
      <c r="S387" s="7" t="s">
        <v>127</v>
      </c>
      <c r="T387" s="7" t="s">
        <v>1393</v>
      </c>
      <c r="U387" s="7" t="s">
        <v>20</v>
      </c>
      <c r="V387" s="24" t="e">
        <f t="shared" ca="1" si="14"/>
        <v>#NAME?</v>
      </c>
      <c r="W387" s="7"/>
      <c r="X387" s="7"/>
      <c r="Y387" s="29" t="s">
        <v>129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1394</v>
      </c>
      <c r="C388" s="4" t="s">
        <v>1395</v>
      </c>
      <c r="D388" s="7" t="s">
        <v>19</v>
      </c>
      <c r="E388" s="7" t="s">
        <v>66</v>
      </c>
      <c r="F388" s="7" t="s">
        <v>67</v>
      </c>
      <c r="G388" s="7" t="e">
        <f t="shared" ca="1" si="13"/>
        <v>#NAME?</v>
      </c>
      <c r="H388" s="24" t="s">
        <v>134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1396</v>
      </c>
      <c r="R388" s="90"/>
      <c r="S388" s="7" t="s">
        <v>127</v>
      </c>
      <c r="T388" s="7" t="s">
        <v>1397</v>
      </c>
      <c r="U388" s="7" t="s">
        <v>66</v>
      </c>
      <c r="V388" s="24" t="e">
        <f t="shared" ca="1" si="14"/>
        <v>#NAME?</v>
      </c>
      <c r="W388" s="7"/>
      <c r="X388" s="7"/>
      <c r="Y388" s="29" t="s">
        <v>240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1398</v>
      </c>
      <c r="C389" s="4" t="s">
        <v>1399</v>
      </c>
      <c r="D389" s="7" t="s">
        <v>19</v>
      </c>
      <c r="E389" s="7" t="s">
        <v>35</v>
      </c>
      <c r="F389" s="7" t="s">
        <v>199</v>
      </c>
      <c r="G389" s="7" t="e">
        <f t="shared" ca="1" si="13"/>
        <v>#NAME?</v>
      </c>
      <c r="H389" s="24" t="s">
        <v>134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1400</v>
      </c>
      <c r="S389" s="7" t="s">
        <v>127</v>
      </c>
      <c r="T389" s="7" t="s">
        <v>1401</v>
      </c>
      <c r="U389" s="7" t="s">
        <v>202</v>
      </c>
      <c r="V389" s="24" t="e">
        <f t="shared" ca="1" si="14"/>
        <v>#NAME?</v>
      </c>
      <c r="W389" s="7"/>
      <c r="X389" s="7"/>
      <c r="Y389" s="29" t="s">
        <v>440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1402</v>
      </c>
      <c r="C390" s="4" t="s">
        <v>1403</v>
      </c>
      <c r="D390" s="7" t="s">
        <v>19</v>
      </c>
      <c r="E390" s="7" t="s">
        <v>66</v>
      </c>
      <c r="F390" s="7" t="s">
        <v>144</v>
      </c>
      <c r="G390" s="7" t="e">
        <f t="shared" ca="1" si="13"/>
        <v>#NAME?</v>
      </c>
      <c r="H390" s="24" t="s">
        <v>145</v>
      </c>
      <c r="I390" s="24" t="s">
        <v>146</v>
      </c>
      <c r="J390" s="7" t="str">
        <f t="shared" si="18"/>
        <v>Não</v>
      </c>
      <c r="K390" s="25">
        <v>45082</v>
      </c>
      <c r="L390" s="7"/>
      <c r="M390" s="7" t="s">
        <v>333</v>
      </c>
      <c r="N390" s="26">
        <v>0.02</v>
      </c>
      <c r="O390" s="7" t="s">
        <v>39</v>
      </c>
      <c r="P390" s="27">
        <v>0.2</v>
      </c>
      <c r="Q390" s="45"/>
      <c r="R390" s="45" t="s">
        <v>1404</v>
      </c>
      <c r="S390" s="7" t="s">
        <v>127</v>
      </c>
      <c r="T390" s="7" t="s">
        <v>1405</v>
      </c>
      <c r="U390" s="7" t="s">
        <v>1238</v>
      </c>
      <c r="V390" s="24" t="e">
        <f t="shared" ca="1" si="14"/>
        <v>#NAME?</v>
      </c>
      <c r="W390" s="7"/>
      <c r="X390" s="7"/>
      <c r="Y390" s="29" t="s">
        <v>129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1406</v>
      </c>
      <c r="C391" s="4" t="s">
        <v>1407</v>
      </c>
      <c r="D391" s="7" t="s">
        <v>19</v>
      </c>
      <c r="E391" s="7" t="s">
        <v>35</v>
      </c>
      <c r="F391" s="7" t="s">
        <v>199</v>
      </c>
      <c r="G391" s="7" t="e">
        <f t="shared" ca="1" si="13"/>
        <v>#NAME?</v>
      </c>
      <c r="H391" s="24" t="s">
        <v>134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185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127</v>
      </c>
      <c r="T391" s="7" t="s">
        <v>1408</v>
      </c>
      <c r="U391" s="7" t="s">
        <v>202</v>
      </c>
      <c r="V391" s="24" t="e">
        <f t="shared" ca="1" si="14"/>
        <v>#NAME?</v>
      </c>
      <c r="W391" s="7"/>
      <c r="X391" s="7"/>
      <c r="Y391" s="29" t="s">
        <v>129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1409</v>
      </c>
      <c r="C392" s="44" t="s">
        <v>1410</v>
      </c>
      <c r="D392" s="7" t="s">
        <v>19</v>
      </c>
      <c r="E392" s="7" t="s">
        <v>20</v>
      </c>
      <c r="F392" s="7" t="s">
        <v>184</v>
      </c>
      <c r="G392" s="7" t="e">
        <f t="shared" ca="1" si="13"/>
        <v>#NAME?</v>
      </c>
      <c r="H392" s="24" t="s">
        <v>145</v>
      </c>
      <c r="I392" s="24" t="s">
        <v>921</v>
      </c>
      <c r="J392" s="7" t="str">
        <f t="shared" si="18"/>
        <v>Não</v>
      </c>
      <c r="K392" s="25">
        <v>45362</v>
      </c>
      <c r="L392" s="7"/>
      <c r="M392" s="7" t="s">
        <v>333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127</v>
      </c>
      <c r="T392" s="12" t="s">
        <v>1411</v>
      </c>
      <c r="U392" s="7" t="s">
        <v>41</v>
      </c>
      <c r="V392" s="24" t="e">
        <f t="shared" ca="1" si="14"/>
        <v>#NAME?</v>
      </c>
      <c r="W392" s="7"/>
      <c r="X392" s="7"/>
      <c r="Y392" s="29" t="s">
        <v>421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1412</v>
      </c>
      <c r="C393" s="4" t="s">
        <v>1413</v>
      </c>
      <c r="D393" s="7" t="s">
        <v>19</v>
      </c>
      <c r="E393" s="7" t="s">
        <v>66</v>
      </c>
      <c r="F393" s="7" t="s">
        <v>316</v>
      </c>
      <c r="G393" s="7" t="e">
        <f t="shared" ca="1" si="13"/>
        <v>#NAME?</v>
      </c>
      <c r="H393" s="24" t="s">
        <v>145</v>
      </c>
      <c r="I393" s="24" t="s">
        <v>146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1414</v>
      </c>
      <c r="S393" s="7" t="s">
        <v>127</v>
      </c>
      <c r="T393" s="7" t="s">
        <v>1415</v>
      </c>
      <c r="U393" s="7" t="s">
        <v>66</v>
      </c>
      <c r="V393" s="24" t="e">
        <f t="shared" ca="1" si="14"/>
        <v>#NAME?</v>
      </c>
      <c r="W393" s="7"/>
      <c r="X393" s="7"/>
      <c r="Y393" s="29" t="s">
        <v>129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1416</v>
      </c>
      <c r="C394" s="4" t="s">
        <v>1417</v>
      </c>
      <c r="D394" s="7" t="s">
        <v>19</v>
      </c>
      <c r="E394" s="7" t="s">
        <v>20</v>
      </c>
      <c r="F394" s="7" t="s">
        <v>184</v>
      </c>
      <c r="G394" s="7" t="e">
        <f t="shared" ca="1" si="13"/>
        <v>#NAME?</v>
      </c>
      <c r="H394" s="24" t="s">
        <v>134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345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127</v>
      </c>
      <c r="T394" s="7" t="s">
        <v>1418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1419</v>
      </c>
      <c r="C395" s="4" t="s">
        <v>1420</v>
      </c>
      <c r="D395" s="7" t="s">
        <v>19</v>
      </c>
      <c r="E395" s="7" t="s">
        <v>35</v>
      </c>
      <c r="F395" s="7" t="s">
        <v>250</v>
      </c>
      <c r="G395" s="7" t="e">
        <f t="shared" ca="1" si="13"/>
        <v>#NAME?</v>
      </c>
      <c r="H395" s="24" t="s">
        <v>134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867</v>
      </c>
      <c r="N395" s="26">
        <v>0.02</v>
      </c>
      <c r="O395" s="7" t="s">
        <v>167</v>
      </c>
      <c r="P395" s="27">
        <v>0.2</v>
      </c>
      <c r="Q395" s="28"/>
      <c r="R395" s="90"/>
      <c r="S395" s="7" t="s">
        <v>127</v>
      </c>
      <c r="T395" s="7" t="s">
        <v>1421</v>
      </c>
      <c r="U395" s="7" t="s">
        <v>202</v>
      </c>
      <c r="V395" s="24" t="e">
        <f t="shared" ca="1" si="14"/>
        <v>#NAME?</v>
      </c>
      <c r="W395" s="7"/>
      <c r="X395" s="7"/>
      <c r="Y395" s="29" t="s">
        <v>129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1422</v>
      </c>
      <c r="C396" s="4" t="s">
        <v>1423</v>
      </c>
      <c r="D396" s="7" t="s">
        <v>34</v>
      </c>
      <c r="E396" s="7" t="s">
        <v>35</v>
      </c>
      <c r="F396" s="7" t="s">
        <v>1424</v>
      </c>
      <c r="G396" s="7" t="e">
        <f t="shared" ca="1" si="13"/>
        <v>#NAME?</v>
      </c>
      <c r="H396" s="24" t="s">
        <v>145</v>
      </c>
      <c r="I396" s="24" t="s">
        <v>229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127</v>
      </c>
      <c r="T396" s="7" t="s">
        <v>1425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129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1426</v>
      </c>
      <c r="C397" s="4" t="s">
        <v>1427</v>
      </c>
      <c r="D397" s="7" t="s">
        <v>19</v>
      </c>
      <c r="E397" s="7" t="s">
        <v>35</v>
      </c>
      <c r="F397" s="7" t="s">
        <v>250</v>
      </c>
      <c r="G397" s="7" t="e">
        <f t="shared" ca="1" si="13"/>
        <v>#NAME?</v>
      </c>
      <c r="H397" s="24" t="s">
        <v>145</v>
      </c>
      <c r="I397" s="24" t="s">
        <v>146</v>
      </c>
      <c r="J397" s="7" t="str">
        <f t="shared" si="18"/>
        <v>Não</v>
      </c>
      <c r="K397" s="25">
        <v>45042</v>
      </c>
      <c r="L397" s="7"/>
      <c r="M397" s="7" t="s">
        <v>185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127</v>
      </c>
      <c r="T397" s="7" t="s">
        <v>1428</v>
      </c>
      <c r="U397" s="7" t="s">
        <v>202</v>
      </c>
      <c r="V397" s="24" t="e">
        <f t="shared" ca="1" si="14"/>
        <v>#NAME?</v>
      </c>
      <c r="W397" s="7"/>
      <c r="X397" s="7" t="s">
        <v>152</v>
      </c>
      <c r="Y397" s="29" t="s">
        <v>129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1426</v>
      </c>
      <c r="C398" s="4" t="s">
        <v>1429</v>
      </c>
      <c r="D398" s="7" t="s">
        <v>19</v>
      </c>
      <c r="E398" s="7" t="s">
        <v>35</v>
      </c>
      <c r="F398" s="7" t="s">
        <v>250</v>
      </c>
      <c r="G398" s="7" t="e">
        <f t="shared" ca="1" si="13"/>
        <v>#NAME?</v>
      </c>
      <c r="H398" s="24" t="s">
        <v>134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185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127</v>
      </c>
      <c r="T398" s="7" t="s">
        <v>1428</v>
      </c>
      <c r="U398" s="7" t="s">
        <v>202</v>
      </c>
      <c r="V398" s="24" t="e">
        <f t="shared" ca="1" si="14"/>
        <v>#NAME?</v>
      </c>
      <c r="W398" s="7"/>
      <c r="X398" s="7" t="s">
        <v>152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1430</v>
      </c>
      <c r="C399" s="4" t="s">
        <v>1431</v>
      </c>
      <c r="D399" s="7" t="s">
        <v>19</v>
      </c>
      <c r="E399" s="7" t="s">
        <v>20</v>
      </c>
      <c r="F399" s="7" t="s">
        <v>360</v>
      </c>
      <c r="G399" s="7" t="e">
        <f t="shared" ca="1" si="13"/>
        <v>#NAME?</v>
      </c>
      <c r="H399" s="24" t="s">
        <v>145</v>
      </c>
      <c r="I399" s="24" t="s">
        <v>146</v>
      </c>
      <c r="J399" s="7" t="str">
        <f t="shared" si="18"/>
        <v>Não</v>
      </c>
      <c r="K399" s="25">
        <v>44959</v>
      </c>
      <c r="L399" s="7"/>
      <c r="M399" s="7" t="s">
        <v>156</v>
      </c>
      <c r="N399" s="26">
        <v>0</v>
      </c>
      <c r="O399" s="7" t="s">
        <v>25</v>
      </c>
      <c r="P399" s="27">
        <v>0</v>
      </c>
      <c r="Q399" s="36"/>
      <c r="R399" s="28" t="s">
        <v>1432</v>
      </c>
      <c r="S399" s="7" t="s">
        <v>127</v>
      </c>
      <c r="T399" s="7" t="s">
        <v>1433</v>
      </c>
      <c r="U399" s="7" t="s">
        <v>20</v>
      </c>
      <c r="V399" s="24" t="e">
        <f t="shared" ca="1" si="14"/>
        <v>#NAME?</v>
      </c>
      <c r="W399" s="7"/>
      <c r="X399" s="7"/>
      <c r="Y399" s="29" t="s">
        <v>129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1434</v>
      </c>
      <c r="C400" s="4" t="s">
        <v>1435</v>
      </c>
      <c r="D400" s="7" t="s">
        <v>19</v>
      </c>
      <c r="E400" s="7" t="s">
        <v>66</v>
      </c>
      <c r="F400" s="7" t="s">
        <v>67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185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127</v>
      </c>
      <c r="T400" s="7" t="s">
        <v>1436</v>
      </c>
      <c r="U400" s="7" t="s">
        <v>66</v>
      </c>
      <c r="V400" s="24" t="e">
        <f t="shared" ca="1" si="14"/>
        <v>#NAME?</v>
      </c>
      <c r="W400" s="7"/>
      <c r="X400" s="7"/>
      <c r="Y400" s="29" t="s">
        <v>240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1437</v>
      </c>
      <c r="C401" s="4" t="s">
        <v>1438</v>
      </c>
      <c r="D401" s="7" t="s">
        <v>19</v>
      </c>
      <c r="E401" s="7" t="s">
        <v>20</v>
      </c>
      <c r="F401" s="7" t="s">
        <v>360</v>
      </c>
      <c r="G401" s="7" t="e">
        <f t="shared" ca="1" si="13"/>
        <v>#NAME?</v>
      </c>
      <c r="H401" s="24" t="s">
        <v>145</v>
      </c>
      <c r="I401" s="24" t="s">
        <v>146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1439</v>
      </c>
      <c r="S401" s="7" t="s">
        <v>127</v>
      </c>
      <c r="T401" s="7" t="s">
        <v>1440</v>
      </c>
      <c r="U401" s="7" t="s">
        <v>20</v>
      </c>
      <c r="V401" s="24" t="e">
        <f t="shared" ca="1" si="14"/>
        <v>#NAME?</v>
      </c>
      <c r="W401" s="7"/>
      <c r="X401" s="7"/>
      <c r="Y401" s="29" t="s">
        <v>129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1441</v>
      </c>
      <c r="C402" s="39" t="s">
        <v>1442</v>
      </c>
      <c r="D402" s="7" t="s">
        <v>19</v>
      </c>
      <c r="E402" s="7" t="s">
        <v>66</v>
      </c>
      <c r="F402" s="7" t="s">
        <v>67</v>
      </c>
      <c r="G402" s="7" t="e">
        <f t="shared" ca="1" si="13"/>
        <v>#NAME?</v>
      </c>
      <c r="H402" s="24" t="s">
        <v>134</v>
      </c>
      <c r="I402" s="24" t="s">
        <v>146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127</v>
      </c>
      <c r="T402" s="6" t="s">
        <v>1443</v>
      </c>
      <c r="U402" s="7" t="s">
        <v>66</v>
      </c>
      <c r="V402" s="24" t="e">
        <f t="shared" ca="1" si="14"/>
        <v>#NAME?</v>
      </c>
      <c r="W402" s="7"/>
      <c r="X402" s="7" t="s">
        <v>42</v>
      </c>
      <c r="Y402" s="29" t="s">
        <v>129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1444</v>
      </c>
      <c r="C403" s="4" t="s">
        <v>1445</v>
      </c>
      <c r="D403" s="7" t="s">
        <v>46</v>
      </c>
      <c r="E403" s="7" t="s">
        <v>20</v>
      </c>
      <c r="F403" s="7" t="s">
        <v>124</v>
      </c>
      <c r="G403" s="7" t="e">
        <f t="shared" ca="1" si="13"/>
        <v>#NAME?</v>
      </c>
      <c r="H403" s="24" t="s">
        <v>125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333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127</v>
      </c>
      <c r="T403" s="7" t="s">
        <v>1446</v>
      </c>
      <c r="U403" s="7" t="s">
        <v>20</v>
      </c>
      <c r="V403" s="24" t="e">
        <f t="shared" ca="1" si="14"/>
        <v>#NAME?</v>
      </c>
      <c r="W403" s="7"/>
      <c r="X403" s="7"/>
      <c r="Y403" s="29" t="s">
        <v>421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1447</v>
      </c>
      <c r="C404" s="62" t="s">
        <v>1448</v>
      </c>
      <c r="D404" s="7" t="s">
        <v>19</v>
      </c>
      <c r="E404" s="7" t="s">
        <v>35</v>
      </c>
      <c r="F404" s="7" t="s">
        <v>250</v>
      </c>
      <c r="G404" s="7" t="e">
        <f t="shared" ca="1" si="13"/>
        <v>#NAME?</v>
      </c>
      <c r="H404" s="24" t="s">
        <v>134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127</v>
      </c>
      <c r="T404" s="7" t="s">
        <v>1449</v>
      </c>
      <c r="U404" s="7" t="s">
        <v>202</v>
      </c>
      <c r="V404" s="24" t="e">
        <f t="shared" ca="1" si="14"/>
        <v>#NAME?</v>
      </c>
      <c r="W404" s="7"/>
      <c r="X404" s="7"/>
      <c r="Y404" s="29" t="s">
        <v>129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1450</v>
      </c>
      <c r="C405" s="141" t="s">
        <v>1451</v>
      </c>
      <c r="D405" s="7" t="s">
        <v>19</v>
      </c>
      <c r="E405" s="7" t="s">
        <v>66</v>
      </c>
      <c r="F405" s="7" t="s">
        <v>144</v>
      </c>
      <c r="G405" s="7" t="e">
        <f t="shared" ca="1" si="13"/>
        <v>#NAME?</v>
      </c>
      <c r="H405" s="24" t="s">
        <v>145</v>
      </c>
      <c r="I405" s="24" t="s">
        <v>208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127</v>
      </c>
      <c r="T405" s="7" t="s">
        <v>1452</v>
      </c>
      <c r="U405" s="7" t="s">
        <v>66</v>
      </c>
      <c r="V405" s="24" t="e">
        <f t="shared" ca="1" si="14"/>
        <v>#NAME?</v>
      </c>
      <c r="W405" s="7"/>
      <c r="X405" s="7"/>
      <c r="Y405" s="29" t="s">
        <v>129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1453</v>
      </c>
      <c r="C406" s="64" t="s">
        <v>1454</v>
      </c>
      <c r="D406" s="7" t="s">
        <v>71</v>
      </c>
      <c r="E406" s="7" t="s">
        <v>66</v>
      </c>
      <c r="F406" s="7" t="s">
        <v>72</v>
      </c>
      <c r="G406" s="7" t="e">
        <f t="shared" ca="1" si="13"/>
        <v>#NAME?</v>
      </c>
      <c r="H406" s="24" t="s">
        <v>134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127</v>
      </c>
      <c r="T406" s="7" t="s">
        <v>1455</v>
      </c>
      <c r="U406" s="7" t="s">
        <v>66</v>
      </c>
      <c r="V406" s="24" t="e">
        <f t="shared" ca="1" si="14"/>
        <v>#NAME?</v>
      </c>
      <c r="W406" s="7"/>
      <c r="X406" s="7" t="s">
        <v>42</v>
      </c>
      <c r="Y406" s="29" t="s">
        <v>129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1456</v>
      </c>
      <c r="C407" s="64" t="s">
        <v>1457</v>
      </c>
      <c r="D407" s="7" t="s">
        <v>179</v>
      </c>
      <c r="E407" s="7" t="s">
        <v>20</v>
      </c>
      <c r="F407" s="7" t="s">
        <v>180</v>
      </c>
      <c r="G407" s="7" t="e">
        <f t="shared" ca="1" si="13"/>
        <v>#NAME?</v>
      </c>
      <c r="H407" s="24" t="s">
        <v>134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127</v>
      </c>
      <c r="T407" s="7" t="s">
        <v>1458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1459</v>
      </c>
      <c r="C408" s="4" t="s">
        <v>1460</v>
      </c>
      <c r="D408" s="7" t="s">
        <v>19</v>
      </c>
      <c r="E408" s="7" t="s">
        <v>20</v>
      </c>
      <c r="F408" s="7" t="s">
        <v>184</v>
      </c>
      <c r="G408" s="7" t="e">
        <f t="shared" ca="1" si="13"/>
        <v>#NAME?</v>
      </c>
      <c r="H408" s="24" t="s">
        <v>134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1461</v>
      </c>
      <c r="S408" s="7" t="s">
        <v>127</v>
      </c>
      <c r="T408" s="7" t="s">
        <v>1462</v>
      </c>
      <c r="U408" s="7" t="s">
        <v>20</v>
      </c>
      <c r="V408" s="24" t="e">
        <f t="shared" ca="1" si="14"/>
        <v>#NAME?</v>
      </c>
      <c r="W408" s="7"/>
      <c r="X408" s="7"/>
      <c r="Y408" s="29" t="s">
        <v>129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1459</v>
      </c>
      <c r="C409" s="142" t="s">
        <v>1463</v>
      </c>
      <c r="D409" s="7" t="s">
        <v>19</v>
      </c>
      <c r="E409" s="7" t="s">
        <v>20</v>
      </c>
      <c r="F409" s="7" t="s">
        <v>184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1464</v>
      </c>
      <c r="S409" s="7" t="s">
        <v>127</v>
      </c>
      <c r="T409" s="7" t="s">
        <v>1462</v>
      </c>
      <c r="U409" s="7" t="s">
        <v>20</v>
      </c>
      <c r="V409" s="24" t="e">
        <f t="shared" ca="1" si="14"/>
        <v>#NAME?</v>
      </c>
      <c r="W409" s="7"/>
      <c r="X409" s="7"/>
      <c r="Y409" s="29" t="s">
        <v>129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1465</v>
      </c>
      <c r="C410" s="39" t="s">
        <v>1466</v>
      </c>
      <c r="D410" s="7" t="s">
        <v>19</v>
      </c>
      <c r="E410" s="7" t="s">
        <v>20</v>
      </c>
      <c r="F410" s="7" t="s">
        <v>184</v>
      </c>
      <c r="G410" s="7" t="e">
        <f t="shared" ca="1" si="13"/>
        <v>#NAME?</v>
      </c>
      <c r="H410" s="24" t="s">
        <v>134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127</v>
      </c>
      <c r="T410" s="7" t="s">
        <v>1462</v>
      </c>
      <c r="U410" s="7" t="s">
        <v>20</v>
      </c>
      <c r="V410" s="24" t="e">
        <f t="shared" ca="1" si="14"/>
        <v>#NAME?</v>
      </c>
      <c r="W410" s="7"/>
      <c r="X410" s="7" t="s">
        <v>152</v>
      </c>
      <c r="Y410" s="29" t="s">
        <v>129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1467</v>
      </c>
      <c r="C411" s="4" t="s">
        <v>1468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134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1469</v>
      </c>
      <c r="R411" s="78"/>
      <c r="S411" s="7" t="s">
        <v>127</v>
      </c>
      <c r="T411" s="7" t="s">
        <v>1470</v>
      </c>
      <c r="U411" s="7" t="s">
        <v>282</v>
      </c>
      <c r="V411" s="24" t="e">
        <f t="shared" ca="1" si="14"/>
        <v>#NAME?</v>
      </c>
      <c r="W411" s="7"/>
      <c r="X411" s="7"/>
      <c r="Y411" s="7" t="s">
        <v>129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1471</v>
      </c>
      <c r="C412" s="49" t="s">
        <v>1472</v>
      </c>
      <c r="D412" s="7" t="s">
        <v>46</v>
      </c>
      <c r="E412" s="7" t="s">
        <v>20</v>
      </c>
      <c r="F412" s="7" t="s">
        <v>771</v>
      </c>
      <c r="G412" s="7" t="e">
        <f t="shared" ca="1" si="13"/>
        <v>#NAME?</v>
      </c>
      <c r="H412" s="24" t="s">
        <v>125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297</v>
      </c>
      <c r="S412" s="7" t="s">
        <v>127</v>
      </c>
      <c r="T412" s="7" t="s">
        <v>1473</v>
      </c>
      <c r="U412" s="7" t="s">
        <v>20</v>
      </c>
      <c r="V412" s="24" t="e">
        <f t="shared" ca="1" si="14"/>
        <v>#NAME?</v>
      </c>
      <c r="W412" s="7"/>
      <c r="X412" s="7"/>
      <c r="Y412" s="29" t="s">
        <v>240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1474</v>
      </c>
      <c r="C413" s="4" t="s">
        <v>1475</v>
      </c>
      <c r="D413" s="7" t="s">
        <v>19</v>
      </c>
      <c r="E413" s="7" t="s">
        <v>20</v>
      </c>
      <c r="F413" s="7" t="s">
        <v>195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127</v>
      </c>
      <c r="T413" s="7" t="s">
        <v>1476</v>
      </c>
      <c r="U413" s="7" t="s">
        <v>20</v>
      </c>
      <c r="V413" s="24" t="e">
        <f t="shared" ca="1" si="14"/>
        <v>#NAME?</v>
      </c>
      <c r="W413" s="7"/>
      <c r="X413" s="7"/>
      <c r="Y413" s="29" t="s">
        <v>129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1477</v>
      </c>
      <c r="C414" s="60" t="s">
        <v>1478</v>
      </c>
      <c r="D414" s="7" t="s">
        <v>46</v>
      </c>
      <c r="E414" s="7" t="s">
        <v>20</v>
      </c>
      <c r="F414" s="7" t="s">
        <v>189</v>
      </c>
      <c r="G414" s="7" t="e">
        <f t="shared" ca="1" si="13"/>
        <v>#NAME?</v>
      </c>
      <c r="H414" s="24" t="s">
        <v>145</v>
      </c>
      <c r="I414" s="24" t="s">
        <v>190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1479</v>
      </c>
      <c r="R414" s="90"/>
      <c r="S414" s="7" t="s">
        <v>127</v>
      </c>
      <c r="T414" s="7" t="s">
        <v>1480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1481</v>
      </c>
      <c r="C415" s="39" t="s">
        <v>1482</v>
      </c>
      <c r="D415" s="7" t="s">
        <v>71</v>
      </c>
      <c r="E415" s="7" t="s">
        <v>66</v>
      </c>
      <c r="F415" s="7" t="s">
        <v>72</v>
      </c>
      <c r="G415" s="7" t="e">
        <f t="shared" ca="1" si="13"/>
        <v>#NAME?</v>
      </c>
      <c r="H415" s="24" t="s">
        <v>134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127</v>
      </c>
      <c r="T415" s="6" t="s">
        <v>1483</v>
      </c>
      <c r="U415" s="7" t="s">
        <v>66</v>
      </c>
      <c r="V415" s="24" t="e">
        <f t="shared" ca="1" si="14"/>
        <v>#NAME?</v>
      </c>
      <c r="W415" s="7"/>
      <c r="X415" s="7" t="s">
        <v>42</v>
      </c>
      <c r="Y415" s="29" t="s">
        <v>129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1484</v>
      </c>
      <c r="C416" s="4" t="s">
        <v>1485</v>
      </c>
      <c r="D416" s="7" t="s">
        <v>46</v>
      </c>
      <c r="E416" s="7" t="s">
        <v>20</v>
      </c>
      <c r="F416" s="7" t="s">
        <v>124</v>
      </c>
      <c r="G416" s="7" t="e">
        <f t="shared" ca="1" si="13"/>
        <v>#NAME?</v>
      </c>
      <c r="H416" s="24" t="s">
        <v>125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185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127</v>
      </c>
      <c r="T416" s="7" t="s">
        <v>1486</v>
      </c>
      <c r="U416" s="7" t="s">
        <v>20</v>
      </c>
      <c r="V416" s="24" t="e">
        <f t="shared" ca="1" si="14"/>
        <v>#NAME?</v>
      </c>
      <c r="W416" s="7"/>
      <c r="X416" s="7"/>
      <c r="Y416" s="29" t="s">
        <v>129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1487</v>
      </c>
      <c r="C417" s="4" t="s">
        <v>1488</v>
      </c>
      <c r="D417" s="7" t="s">
        <v>19</v>
      </c>
      <c r="E417" s="7" t="s">
        <v>20</v>
      </c>
      <c r="F417" s="7" t="s">
        <v>360</v>
      </c>
      <c r="G417" s="7" t="e">
        <f t="shared" ca="1" si="13"/>
        <v>#NAME?</v>
      </c>
      <c r="H417" s="24" t="s">
        <v>134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171</v>
      </c>
      <c r="T417" s="7" t="s">
        <v>1489</v>
      </c>
      <c r="U417" s="7" t="s">
        <v>20</v>
      </c>
      <c r="V417" s="24" t="e">
        <f t="shared" ca="1" si="14"/>
        <v>#NAME?</v>
      </c>
      <c r="W417" s="7"/>
      <c r="X417" s="7"/>
      <c r="Y417" s="29" t="s">
        <v>129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1490</v>
      </c>
      <c r="C418" s="4" t="s">
        <v>1491</v>
      </c>
      <c r="D418" s="7" t="s">
        <v>46</v>
      </c>
      <c r="E418" s="7" t="s">
        <v>20</v>
      </c>
      <c r="F418" s="7" t="s">
        <v>124</v>
      </c>
      <c r="G418" s="7" t="e">
        <f t="shared" ca="1" si="13"/>
        <v>#NAME?</v>
      </c>
      <c r="H418" s="24" t="s">
        <v>145</v>
      </c>
      <c r="I418" s="24" t="s">
        <v>229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1492</v>
      </c>
      <c r="S418" s="7" t="s">
        <v>127</v>
      </c>
      <c r="T418" s="7" t="s">
        <v>1489</v>
      </c>
      <c r="U418" s="7" t="s">
        <v>20</v>
      </c>
      <c r="V418" s="24" t="e">
        <f t="shared" ca="1" si="14"/>
        <v>#NAME?</v>
      </c>
      <c r="W418" s="7"/>
      <c r="X418" s="7"/>
      <c r="Y418" s="29" t="s">
        <v>129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1493</v>
      </c>
      <c r="C419" s="4" t="s">
        <v>1494</v>
      </c>
      <c r="D419" s="7" t="s">
        <v>19</v>
      </c>
      <c r="E419" s="7" t="s">
        <v>41</v>
      </c>
      <c r="F419" s="7" t="s">
        <v>651</v>
      </c>
      <c r="G419" s="7" t="e">
        <f t="shared" ca="1" si="13"/>
        <v>#NAME?</v>
      </c>
      <c r="H419" s="24" t="s">
        <v>134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185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127</v>
      </c>
      <c r="T419" s="4" t="s">
        <v>1495</v>
      </c>
      <c r="U419" s="7" t="s">
        <v>1496</v>
      </c>
      <c r="V419" s="24" t="e">
        <f t="shared" ca="1" si="14"/>
        <v>#NAME?</v>
      </c>
      <c r="W419" s="7"/>
      <c r="X419" s="7"/>
      <c r="Y419" s="7" t="s">
        <v>129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1497</v>
      </c>
      <c r="C420" s="4" t="s">
        <v>1498</v>
      </c>
      <c r="D420" s="7" t="s">
        <v>19</v>
      </c>
      <c r="E420" s="7" t="s">
        <v>66</v>
      </c>
      <c r="F420" s="7" t="s">
        <v>316</v>
      </c>
      <c r="G420" s="7" t="e">
        <f t="shared" ca="1" si="13"/>
        <v>#NAME?</v>
      </c>
      <c r="H420" s="24" t="s">
        <v>134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1499</v>
      </c>
      <c r="S420" s="7" t="s">
        <v>127</v>
      </c>
      <c r="T420" s="7" t="s">
        <v>1500</v>
      </c>
      <c r="U420" s="7" t="s">
        <v>20</v>
      </c>
      <c r="V420" s="24" t="e">
        <f t="shared" ca="1" si="14"/>
        <v>#NAME?</v>
      </c>
      <c r="W420" s="7"/>
      <c r="X420" s="7"/>
      <c r="Y420" s="29" t="s">
        <v>240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1501</v>
      </c>
      <c r="C421" s="4" t="s">
        <v>1502</v>
      </c>
      <c r="D421" s="7" t="s">
        <v>19</v>
      </c>
      <c r="E421" s="7" t="s">
        <v>35</v>
      </c>
      <c r="F421" s="7" t="s">
        <v>250</v>
      </c>
      <c r="G421" s="7" t="e">
        <f t="shared" ca="1" si="13"/>
        <v>#NAME?</v>
      </c>
      <c r="H421" s="24" t="s">
        <v>134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185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127</v>
      </c>
      <c r="T421" s="7" t="s">
        <v>1503</v>
      </c>
      <c r="U421" s="7" t="s">
        <v>202</v>
      </c>
      <c r="V421" s="24" t="e">
        <f t="shared" ca="1" si="14"/>
        <v>#NAME?</v>
      </c>
      <c r="W421" s="7"/>
      <c r="X421" s="7"/>
      <c r="Y421" s="29" t="s">
        <v>129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1504</v>
      </c>
      <c r="C422" s="4" t="s">
        <v>1505</v>
      </c>
      <c r="D422" s="7" t="s">
        <v>132</v>
      </c>
      <c r="E422" s="7" t="s">
        <v>66</v>
      </c>
      <c r="F422" s="7" t="s">
        <v>133</v>
      </c>
      <c r="G422" s="7" t="e">
        <f t="shared" ca="1" si="13"/>
        <v>#NAME?</v>
      </c>
      <c r="H422" s="24" t="s">
        <v>134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1506</v>
      </c>
      <c r="R422" s="28"/>
      <c r="S422" s="7" t="s">
        <v>127</v>
      </c>
      <c r="T422" s="7" t="s">
        <v>1507</v>
      </c>
      <c r="U422" s="7" t="s">
        <v>66</v>
      </c>
      <c r="V422" s="24" t="e">
        <f t="shared" ca="1" si="14"/>
        <v>#NAME?</v>
      </c>
      <c r="W422" s="7"/>
      <c r="X422" s="7"/>
      <c r="Y422" s="29" t="s">
        <v>129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1508</v>
      </c>
      <c r="C423" s="4" t="s">
        <v>1509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134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1510</v>
      </c>
      <c r="R423" s="45"/>
      <c r="S423" s="7" t="s">
        <v>127</v>
      </c>
      <c r="T423" s="7" t="s">
        <v>1511</v>
      </c>
      <c r="U423" s="7" t="s">
        <v>20</v>
      </c>
      <c r="V423" s="24" t="e">
        <f t="shared" ca="1" si="14"/>
        <v>#NAME?</v>
      </c>
      <c r="W423" s="7"/>
      <c r="X423" s="7"/>
      <c r="Y423" s="29" t="s">
        <v>129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1508</v>
      </c>
      <c r="C424" s="4" t="s">
        <v>1512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145</v>
      </c>
      <c r="I424" s="24" t="s">
        <v>146</v>
      </c>
      <c r="J424" s="7" t="str">
        <f t="shared" si="20"/>
        <v>Sim</v>
      </c>
      <c r="K424" s="25">
        <v>45163</v>
      </c>
      <c r="L424" s="25"/>
      <c r="M424" s="7" t="s">
        <v>242</v>
      </c>
      <c r="N424" s="26">
        <v>2.5000000000000001E-2</v>
      </c>
      <c r="O424" s="7" t="s">
        <v>167</v>
      </c>
      <c r="P424" s="27">
        <v>0.2</v>
      </c>
      <c r="Q424" s="28" t="s">
        <v>1513</v>
      </c>
      <c r="R424" s="28"/>
      <c r="S424" s="7" t="s">
        <v>127</v>
      </c>
      <c r="T424" s="7" t="s">
        <v>1511</v>
      </c>
      <c r="U424" s="7" t="s">
        <v>20</v>
      </c>
      <c r="V424" s="24" t="e">
        <f t="shared" ca="1" si="14"/>
        <v>#NAME?</v>
      </c>
      <c r="W424" s="7"/>
      <c r="X424" s="7"/>
      <c r="Y424" s="29" t="s">
        <v>129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1514</v>
      </c>
      <c r="C425" s="62" t="s">
        <v>1515</v>
      </c>
      <c r="D425" s="7" t="s">
        <v>19</v>
      </c>
      <c r="E425" s="7" t="s">
        <v>35</v>
      </c>
      <c r="F425" s="7" t="s">
        <v>199</v>
      </c>
      <c r="G425" s="7" t="e">
        <f t="shared" ca="1" si="13"/>
        <v>#NAME?</v>
      </c>
      <c r="H425" s="24" t="s">
        <v>134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1516</v>
      </c>
      <c r="S425" s="7" t="s">
        <v>127</v>
      </c>
      <c r="T425" s="7" t="s">
        <v>1517</v>
      </c>
      <c r="U425" s="7" t="s">
        <v>202</v>
      </c>
      <c r="V425" s="24" t="e">
        <f t="shared" ca="1" si="14"/>
        <v>#NAME?</v>
      </c>
      <c r="W425" s="7"/>
      <c r="X425" s="7"/>
      <c r="Y425" s="29" t="s">
        <v>129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1518</v>
      </c>
      <c r="C426" s="62" t="s">
        <v>1519</v>
      </c>
      <c r="D426" s="7" t="s">
        <v>19</v>
      </c>
      <c r="E426" s="7" t="s">
        <v>20</v>
      </c>
      <c r="F426" s="7" t="s">
        <v>437</v>
      </c>
      <c r="G426" s="7" t="e">
        <f t="shared" ca="1" si="13"/>
        <v>#NAME?</v>
      </c>
      <c r="H426" s="24" t="s">
        <v>150</v>
      </c>
      <c r="I426" s="24" t="s">
        <v>208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127</v>
      </c>
      <c r="T426" s="7" t="s">
        <v>1520</v>
      </c>
      <c r="U426" s="7" t="s">
        <v>48</v>
      </c>
      <c r="V426" s="24" t="e">
        <f t="shared" ca="1" si="14"/>
        <v>#NAME?</v>
      </c>
      <c r="W426" s="7"/>
      <c r="X426" s="7" t="s">
        <v>137</v>
      </c>
      <c r="Y426" s="29" t="s">
        <v>129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1521</v>
      </c>
      <c r="C427" s="44" t="s">
        <v>1522</v>
      </c>
      <c r="D427" s="7" t="s">
        <v>19</v>
      </c>
      <c r="E427" s="7" t="s">
        <v>66</v>
      </c>
      <c r="F427" s="7" t="s">
        <v>67</v>
      </c>
      <c r="G427" s="7" t="e">
        <f t="shared" ca="1" si="13"/>
        <v>#NAME?</v>
      </c>
      <c r="H427" s="24" t="s">
        <v>134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127</v>
      </c>
      <c r="T427" s="12" t="s">
        <v>1523</v>
      </c>
      <c r="U427" s="7" t="s">
        <v>66</v>
      </c>
      <c r="V427" s="24" t="e">
        <f t="shared" ca="1" si="14"/>
        <v>#NAME?</v>
      </c>
      <c r="W427" s="7"/>
      <c r="X427" s="7"/>
      <c r="Y427" s="29" t="s">
        <v>129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1524</v>
      </c>
      <c r="C428" s="4" t="s">
        <v>1525</v>
      </c>
      <c r="D428" s="7" t="s">
        <v>19</v>
      </c>
      <c r="E428" s="7" t="s">
        <v>66</v>
      </c>
      <c r="F428" s="7" t="s">
        <v>144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1526</v>
      </c>
      <c r="S428" s="7" t="s">
        <v>127</v>
      </c>
      <c r="T428" s="7" t="s">
        <v>1527</v>
      </c>
      <c r="U428" s="7" t="s">
        <v>66</v>
      </c>
      <c r="V428" s="24" t="e">
        <f t="shared" ca="1" si="14"/>
        <v>#NAME?</v>
      </c>
      <c r="W428" s="7"/>
      <c r="X428" s="7"/>
      <c r="Y428" s="29" t="s">
        <v>240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1528</v>
      </c>
      <c r="C429" s="4" t="s">
        <v>1529</v>
      </c>
      <c r="D429" s="7" t="s">
        <v>19</v>
      </c>
      <c r="E429" s="7" t="s">
        <v>35</v>
      </c>
      <c r="F429" s="7" t="s">
        <v>199</v>
      </c>
      <c r="G429" s="7" t="e">
        <f t="shared" ca="1" si="13"/>
        <v>#NAME?</v>
      </c>
      <c r="H429" s="24" t="s">
        <v>145</v>
      </c>
      <c r="I429" s="24" t="s">
        <v>229</v>
      </c>
      <c r="J429" s="7" t="str">
        <f t="shared" si="20"/>
        <v>Não</v>
      </c>
      <c r="K429" s="25">
        <v>45027</v>
      </c>
      <c r="L429" s="7"/>
      <c r="M429" s="7" t="s">
        <v>242</v>
      </c>
      <c r="N429" s="26">
        <v>2.5000000000000001E-2</v>
      </c>
      <c r="O429" s="7" t="s">
        <v>167</v>
      </c>
      <c r="P429" s="27">
        <v>0.2</v>
      </c>
      <c r="Q429" s="28"/>
      <c r="R429" s="28"/>
      <c r="S429" s="7" t="s">
        <v>127</v>
      </c>
      <c r="T429" s="7" t="s">
        <v>1530</v>
      </c>
      <c r="U429" s="7" t="s">
        <v>202</v>
      </c>
      <c r="V429" s="24" t="e">
        <f t="shared" ca="1" si="14"/>
        <v>#NAME?</v>
      </c>
      <c r="W429" s="7"/>
      <c r="X429" s="7"/>
      <c r="Y429" s="29" t="s">
        <v>129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1531</v>
      </c>
      <c r="C430" s="4" t="s">
        <v>1532</v>
      </c>
      <c r="D430" s="7" t="s">
        <v>46</v>
      </c>
      <c r="E430" s="7" t="s">
        <v>20</v>
      </c>
      <c r="F430" s="7" t="s">
        <v>1533</v>
      </c>
      <c r="G430" s="7" t="e">
        <f t="shared" ca="1" si="13"/>
        <v>#NAME?</v>
      </c>
      <c r="H430" s="24" t="s">
        <v>134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1534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127</v>
      </c>
      <c r="T430" s="7" t="s">
        <v>1535</v>
      </c>
      <c r="U430" s="7" t="s">
        <v>20</v>
      </c>
      <c r="V430" s="24" t="e">
        <f t="shared" ca="1" si="14"/>
        <v>#NAME?</v>
      </c>
      <c r="W430" s="7"/>
      <c r="X430" s="7"/>
      <c r="Y430" s="29" t="s">
        <v>129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1536</v>
      </c>
      <c r="C431" s="4" t="s">
        <v>1537</v>
      </c>
      <c r="D431" s="7" t="s">
        <v>46</v>
      </c>
      <c r="E431" s="7" t="s">
        <v>20</v>
      </c>
      <c r="F431" s="7" t="s">
        <v>124</v>
      </c>
      <c r="G431" s="7" t="e">
        <f t="shared" ca="1" si="13"/>
        <v>#NAME?</v>
      </c>
      <c r="H431" s="24" t="s">
        <v>125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127</v>
      </c>
      <c r="T431" s="7" t="s">
        <v>1538</v>
      </c>
      <c r="U431" s="7" t="s">
        <v>20</v>
      </c>
      <c r="V431" s="24" t="e">
        <f t="shared" ca="1" si="14"/>
        <v>#NAME?</v>
      </c>
      <c r="W431" s="7"/>
      <c r="X431" s="7"/>
      <c r="Y431" s="29" t="s">
        <v>129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1539</v>
      </c>
      <c r="C432" s="4" t="s">
        <v>1540</v>
      </c>
      <c r="D432" s="7" t="s">
        <v>19</v>
      </c>
      <c r="E432" s="7" t="s">
        <v>35</v>
      </c>
      <c r="F432" s="7" t="s">
        <v>199</v>
      </c>
      <c r="G432" s="7" t="e">
        <f t="shared" ca="1" si="13"/>
        <v>#NAME?</v>
      </c>
      <c r="H432" s="24" t="s">
        <v>145</v>
      </c>
      <c r="I432" s="24" t="s">
        <v>229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127</v>
      </c>
      <c r="T432" s="7" t="s">
        <v>1541</v>
      </c>
      <c r="U432" s="7" t="s">
        <v>202</v>
      </c>
      <c r="V432" s="24" t="e">
        <f t="shared" ca="1" si="14"/>
        <v>#NAME?</v>
      </c>
      <c r="W432" s="7"/>
      <c r="X432" s="7"/>
      <c r="Y432" s="29" t="s">
        <v>129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1542</v>
      </c>
      <c r="C433" s="4" t="s">
        <v>1543</v>
      </c>
      <c r="D433" s="7" t="s">
        <v>19</v>
      </c>
      <c r="E433" s="7" t="s">
        <v>35</v>
      </c>
      <c r="F433" s="7" t="s">
        <v>199</v>
      </c>
      <c r="G433" s="7" t="e">
        <f t="shared" ca="1" si="13"/>
        <v>#NAME?</v>
      </c>
      <c r="H433" s="24" t="s">
        <v>145</v>
      </c>
      <c r="I433" s="24" t="s">
        <v>229</v>
      </c>
      <c r="J433" s="7" t="str">
        <f t="shared" si="20"/>
        <v>Não</v>
      </c>
      <c r="K433" s="25">
        <v>45000</v>
      </c>
      <c r="L433" s="7"/>
      <c r="M433" s="7" t="s">
        <v>242</v>
      </c>
      <c r="N433" s="26">
        <v>2.5000000000000001E-2</v>
      </c>
      <c r="O433" s="7" t="s">
        <v>167</v>
      </c>
      <c r="P433" s="27">
        <v>0.2</v>
      </c>
      <c r="Q433" s="28"/>
      <c r="R433" s="28"/>
      <c r="S433" s="7" t="s">
        <v>127</v>
      </c>
      <c r="T433" s="7" t="s">
        <v>1541</v>
      </c>
      <c r="U433" s="7" t="s">
        <v>202</v>
      </c>
      <c r="V433" s="24" t="e">
        <f t="shared" ca="1" si="14"/>
        <v>#NAME?</v>
      </c>
      <c r="W433" s="7"/>
      <c r="X433" s="7"/>
      <c r="Y433" s="29" t="s">
        <v>129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1544</v>
      </c>
      <c r="C434" s="4" t="s">
        <v>1545</v>
      </c>
      <c r="D434" s="7" t="s">
        <v>19</v>
      </c>
      <c r="E434" s="7" t="s">
        <v>66</v>
      </c>
      <c r="F434" s="7" t="s">
        <v>67</v>
      </c>
      <c r="G434" s="7" t="e">
        <f t="shared" ca="1" si="13"/>
        <v>#NAME?</v>
      </c>
      <c r="H434" s="24" t="s">
        <v>145</v>
      </c>
      <c r="I434" s="24" t="s">
        <v>208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127</v>
      </c>
      <c r="T434" s="7" t="s">
        <v>1546</v>
      </c>
      <c r="U434" s="7" t="s">
        <v>66</v>
      </c>
      <c r="V434" s="24" t="e">
        <f t="shared" ca="1" si="14"/>
        <v>#NAME?</v>
      </c>
      <c r="W434" s="7"/>
      <c r="X434" s="7"/>
      <c r="Y434" s="29" t="s">
        <v>129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1547</v>
      </c>
      <c r="C435" s="39" t="s">
        <v>1548</v>
      </c>
      <c r="D435" s="7" t="s">
        <v>46</v>
      </c>
      <c r="E435" s="7" t="s">
        <v>20</v>
      </c>
      <c r="F435" s="7" t="s">
        <v>785</v>
      </c>
      <c r="G435" s="7" t="e">
        <f t="shared" ca="1" si="13"/>
        <v>#NAME?</v>
      </c>
      <c r="H435" s="24" t="s">
        <v>134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1549</v>
      </c>
      <c r="R435" s="28"/>
      <c r="S435" s="7" t="s">
        <v>127</v>
      </c>
      <c r="T435" s="7" t="s">
        <v>1550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129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1551</v>
      </c>
      <c r="C436" s="4" t="s">
        <v>1552</v>
      </c>
      <c r="D436" s="7" t="s">
        <v>19</v>
      </c>
      <c r="E436" s="7" t="s">
        <v>66</v>
      </c>
      <c r="F436" s="7" t="s">
        <v>144</v>
      </c>
      <c r="G436" s="7" t="e">
        <f t="shared" ca="1" si="13"/>
        <v>#NAME?</v>
      </c>
      <c r="H436" s="24" t="s">
        <v>125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185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127</v>
      </c>
      <c r="T436" s="7" t="s">
        <v>1553</v>
      </c>
      <c r="U436" s="7" t="s">
        <v>878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1554</v>
      </c>
      <c r="C437" s="4" t="s">
        <v>1555</v>
      </c>
      <c r="D437" s="7" t="s">
        <v>34</v>
      </c>
      <c r="E437" s="7" t="s">
        <v>35</v>
      </c>
      <c r="F437" s="7" t="s">
        <v>1556</v>
      </c>
      <c r="G437" s="7" t="e">
        <f t="shared" ca="1" si="13"/>
        <v>#NAME?</v>
      </c>
      <c r="H437" s="24" t="s">
        <v>134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127</v>
      </c>
      <c r="T437" s="7" t="s">
        <v>1557</v>
      </c>
      <c r="U437" s="7" t="s">
        <v>202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1558</v>
      </c>
      <c r="C438" s="4" t="s">
        <v>1559</v>
      </c>
      <c r="D438" s="7" t="s">
        <v>46</v>
      </c>
      <c r="E438" s="7" t="s">
        <v>20</v>
      </c>
      <c r="F438" s="7" t="s">
        <v>1560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127</v>
      </c>
      <c r="T438" s="7" t="s">
        <v>1561</v>
      </c>
      <c r="U438" s="7" t="s">
        <v>20</v>
      </c>
      <c r="V438" s="24" t="e">
        <f t="shared" ca="1" si="14"/>
        <v>#NAME?</v>
      </c>
      <c r="W438" s="7"/>
      <c r="X438" s="7"/>
      <c r="Y438" s="29" t="s">
        <v>129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1562</v>
      </c>
      <c r="C439" s="4" t="s">
        <v>1563</v>
      </c>
      <c r="D439" s="7" t="s">
        <v>19</v>
      </c>
      <c r="E439" s="7" t="s">
        <v>66</v>
      </c>
      <c r="F439" s="7" t="s">
        <v>144</v>
      </c>
      <c r="G439" s="7" t="e">
        <f t="shared" ca="1" si="13"/>
        <v>#NAME?</v>
      </c>
      <c r="H439" s="24" t="s">
        <v>134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127</v>
      </c>
      <c r="T439" s="7" t="s">
        <v>1564</v>
      </c>
      <c r="U439" s="7" t="s">
        <v>66</v>
      </c>
      <c r="V439" s="24" t="e">
        <f t="shared" ca="1" si="14"/>
        <v>#NAME?</v>
      </c>
      <c r="W439" s="7"/>
      <c r="X439" s="7"/>
      <c r="Y439" s="29" t="s">
        <v>129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1565</v>
      </c>
      <c r="C440" s="4" t="s">
        <v>1566</v>
      </c>
      <c r="D440" s="7" t="s">
        <v>19</v>
      </c>
      <c r="E440" s="7" t="s">
        <v>66</v>
      </c>
      <c r="F440" s="7" t="s">
        <v>316</v>
      </c>
      <c r="G440" s="7" t="e">
        <f t="shared" ca="1" si="13"/>
        <v>#NAME?</v>
      </c>
      <c r="H440" s="24" t="s">
        <v>134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127</v>
      </c>
      <c r="T440" s="7" t="s">
        <v>1567</v>
      </c>
      <c r="U440" s="7" t="s">
        <v>66</v>
      </c>
      <c r="V440" s="24" t="e">
        <f t="shared" ca="1" si="14"/>
        <v>#NAME?</v>
      </c>
      <c r="W440" s="7"/>
      <c r="X440" s="7"/>
      <c r="Y440" s="29" t="s">
        <v>129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1568</v>
      </c>
      <c r="C441" s="4" t="s">
        <v>1569</v>
      </c>
      <c r="D441" s="7" t="s">
        <v>46</v>
      </c>
      <c r="E441" s="7" t="s">
        <v>20</v>
      </c>
      <c r="F441" s="7" t="s">
        <v>914</v>
      </c>
      <c r="G441" s="7" t="e">
        <f t="shared" ca="1" si="13"/>
        <v>#NAME?</v>
      </c>
      <c r="H441" s="24" t="s">
        <v>125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167</v>
      </c>
      <c r="P441" s="27">
        <v>0.2</v>
      </c>
      <c r="Q441" s="28"/>
      <c r="R441" s="28" t="s">
        <v>297</v>
      </c>
      <c r="S441" s="7" t="s">
        <v>127</v>
      </c>
      <c r="T441" s="7" t="s">
        <v>1570</v>
      </c>
      <c r="U441" s="7" t="s">
        <v>20</v>
      </c>
      <c r="V441" s="24" t="e">
        <f t="shared" ca="1" si="14"/>
        <v>#NAME?</v>
      </c>
      <c r="W441" s="7"/>
      <c r="X441" s="7"/>
      <c r="Y441" s="29" t="s">
        <v>421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1571</v>
      </c>
      <c r="C442" s="4" t="s">
        <v>1572</v>
      </c>
      <c r="D442" s="7" t="s">
        <v>19</v>
      </c>
      <c r="E442" s="7" t="s">
        <v>35</v>
      </c>
      <c r="F442" s="7" t="s">
        <v>199</v>
      </c>
      <c r="G442" s="7" t="e">
        <f t="shared" ca="1" si="13"/>
        <v>#NAME?</v>
      </c>
      <c r="H442" s="24" t="s">
        <v>134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185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127</v>
      </c>
      <c r="T442" s="7" t="s">
        <v>1573</v>
      </c>
      <c r="U442" s="7" t="s">
        <v>202</v>
      </c>
      <c r="V442" s="24" t="e">
        <f t="shared" ca="1" si="14"/>
        <v>#NAME?</v>
      </c>
      <c r="W442" s="7"/>
      <c r="X442" s="7"/>
      <c r="Y442" s="29" t="s">
        <v>129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1574</v>
      </c>
      <c r="C443" s="4" t="s">
        <v>1575</v>
      </c>
      <c r="D443" s="7" t="s">
        <v>19</v>
      </c>
      <c r="E443" s="7" t="s">
        <v>20</v>
      </c>
      <c r="F443" s="7" t="s">
        <v>720</v>
      </c>
      <c r="G443" s="7" t="e">
        <f t="shared" ca="1" si="13"/>
        <v>#NAME?</v>
      </c>
      <c r="H443" s="24" t="s">
        <v>134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721</v>
      </c>
      <c r="S443" s="7" t="s">
        <v>127</v>
      </c>
      <c r="T443" s="7" t="s">
        <v>1576</v>
      </c>
      <c r="U443" s="7" t="s">
        <v>66</v>
      </c>
      <c r="V443" s="24" t="e">
        <f t="shared" ca="1" si="14"/>
        <v>#NAME?</v>
      </c>
      <c r="W443" s="7"/>
      <c r="X443" s="7"/>
      <c r="Y443" s="29" t="s">
        <v>129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1577</v>
      </c>
      <c r="C444" s="4" t="s">
        <v>1578</v>
      </c>
      <c r="D444" s="7" t="s">
        <v>19</v>
      </c>
      <c r="E444" s="7" t="s">
        <v>66</v>
      </c>
      <c r="F444" s="7" t="s">
        <v>67</v>
      </c>
      <c r="G444" s="7" t="e">
        <f t="shared" ca="1" si="13"/>
        <v>#NAME?</v>
      </c>
      <c r="H444" s="24" t="s">
        <v>134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1579</v>
      </c>
      <c r="R444" s="28"/>
      <c r="S444" s="7" t="s">
        <v>127</v>
      </c>
      <c r="T444" s="7" t="s">
        <v>1580</v>
      </c>
      <c r="U444" s="7" t="s">
        <v>66</v>
      </c>
      <c r="V444" s="24" t="e">
        <f t="shared" ca="1" si="14"/>
        <v>#NAME?</v>
      </c>
      <c r="W444" s="7"/>
      <c r="X444" s="7"/>
      <c r="Y444" s="29" t="s">
        <v>129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1581</v>
      </c>
      <c r="C445" s="4" t="s">
        <v>1582</v>
      </c>
      <c r="D445" s="7" t="s">
        <v>19</v>
      </c>
      <c r="E445" s="7" t="s">
        <v>35</v>
      </c>
      <c r="F445" s="7" t="s">
        <v>199</v>
      </c>
      <c r="G445" s="7" t="e">
        <f t="shared" ca="1" si="13"/>
        <v>#NAME?</v>
      </c>
      <c r="H445" s="24" t="s">
        <v>145</v>
      </c>
      <c r="I445" s="24" t="s">
        <v>146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1583</v>
      </c>
      <c r="S445" s="7" t="s">
        <v>127</v>
      </c>
      <c r="T445" s="7" t="s">
        <v>1584</v>
      </c>
      <c r="U445" s="7" t="s">
        <v>202</v>
      </c>
      <c r="V445" s="24" t="e">
        <f t="shared" ca="1" si="14"/>
        <v>#NAME?</v>
      </c>
      <c r="W445" s="7"/>
      <c r="X445" s="7"/>
      <c r="Y445" s="29" t="s">
        <v>129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1585</v>
      </c>
      <c r="C446" s="4" t="s">
        <v>1586</v>
      </c>
      <c r="D446" s="7" t="s">
        <v>19</v>
      </c>
      <c r="E446" s="7" t="s">
        <v>35</v>
      </c>
      <c r="F446" s="7" t="s">
        <v>199</v>
      </c>
      <c r="G446" s="7" t="e">
        <f t="shared" ca="1" si="13"/>
        <v>#NAME?</v>
      </c>
      <c r="H446" s="24" t="s">
        <v>134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1587</v>
      </c>
      <c r="S446" s="7" t="s">
        <v>127</v>
      </c>
      <c r="T446" s="7" t="s">
        <v>1588</v>
      </c>
      <c r="U446" s="7" t="s">
        <v>202</v>
      </c>
      <c r="V446" s="24" t="e">
        <f t="shared" ca="1" si="14"/>
        <v>#NAME?</v>
      </c>
      <c r="W446" s="7"/>
      <c r="X446" s="7"/>
      <c r="Y446" s="29" t="s">
        <v>129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1589</v>
      </c>
      <c r="C447" s="4" t="s">
        <v>1590</v>
      </c>
      <c r="D447" s="7" t="s">
        <v>19</v>
      </c>
      <c r="E447" s="7" t="s">
        <v>20</v>
      </c>
      <c r="F447" s="7" t="s">
        <v>720</v>
      </c>
      <c r="G447" s="7" t="e">
        <f t="shared" ca="1" si="13"/>
        <v>#NAME?</v>
      </c>
      <c r="H447" s="24" t="s">
        <v>145</v>
      </c>
      <c r="I447" s="24" t="s">
        <v>897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1591</v>
      </c>
      <c r="S447" s="7" t="s">
        <v>171</v>
      </c>
      <c r="T447" s="7" t="s">
        <v>1592</v>
      </c>
      <c r="U447" s="7" t="s">
        <v>20</v>
      </c>
      <c r="V447" s="24" t="e">
        <f t="shared" ca="1" si="14"/>
        <v>#NAME?</v>
      </c>
      <c r="W447" s="7"/>
      <c r="X447" s="7"/>
      <c r="Y447" s="29" t="s">
        <v>240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1593</v>
      </c>
      <c r="C448" s="4" t="s">
        <v>1594</v>
      </c>
      <c r="D448" s="7" t="s">
        <v>46</v>
      </c>
      <c r="E448" s="7" t="s">
        <v>20</v>
      </c>
      <c r="F448" s="7" t="s">
        <v>477</v>
      </c>
      <c r="G448" s="7" t="e">
        <f t="shared" ca="1" si="13"/>
        <v>#NAME?</v>
      </c>
      <c r="H448" s="24" t="s">
        <v>125</v>
      </c>
      <c r="I448" s="24" t="s">
        <v>25</v>
      </c>
      <c r="J448" s="7" t="s">
        <v>1135</v>
      </c>
      <c r="K448" s="25">
        <v>45125</v>
      </c>
      <c r="L448" s="25">
        <v>45513</v>
      </c>
      <c r="M448" s="7" t="s">
        <v>338</v>
      </c>
      <c r="N448" s="26">
        <v>8.5000000000000006E-3</v>
      </c>
      <c r="O448" s="7" t="s">
        <v>25</v>
      </c>
      <c r="P448" s="27">
        <v>0</v>
      </c>
      <c r="Q448" s="23"/>
      <c r="R448" s="28" t="s">
        <v>692</v>
      </c>
      <c r="S448" s="7" t="s">
        <v>127</v>
      </c>
      <c r="T448" s="7" t="s">
        <v>1595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1596</v>
      </c>
      <c r="C449" s="4" t="s">
        <v>1597</v>
      </c>
      <c r="D449" s="7" t="s">
        <v>19</v>
      </c>
      <c r="E449" s="7" t="s">
        <v>66</v>
      </c>
      <c r="F449" s="7" t="s">
        <v>265</v>
      </c>
      <c r="G449" s="7" t="e">
        <f t="shared" ca="1" si="13"/>
        <v>#NAME?</v>
      </c>
      <c r="H449" s="24" t="s">
        <v>145</v>
      </c>
      <c r="I449" s="24" t="s">
        <v>146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1598</v>
      </c>
      <c r="S449" s="7" t="s">
        <v>127</v>
      </c>
      <c r="T449" s="7" t="s">
        <v>1599</v>
      </c>
      <c r="U449" s="7" t="s">
        <v>66</v>
      </c>
      <c r="V449" s="24" t="e">
        <f t="shared" ca="1" si="14"/>
        <v>#NAME?</v>
      </c>
      <c r="W449" s="7"/>
      <c r="X449" s="7"/>
      <c r="Y449" s="29" t="s">
        <v>240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1600</v>
      </c>
      <c r="C450" s="4" t="s">
        <v>1601</v>
      </c>
      <c r="D450" s="7" t="s">
        <v>19</v>
      </c>
      <c r="E450" s="7" t="s">
        <v>35</v>
      </c>
      <c r="F450" s="7" t="s">
        <v>199</v>
      </c>
      <c r="G450" s="7" t="e">
        <f t="shared" ca="1" si="13"/>
        <v>#NAME?</v>
      </c>
      <c r="H450" s="24" t="s">
        <v>134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185</v>
      </c>
      <c r="N450" s="26">
        <v>1.4999999999999999E-2</v>
      </c>
      <c r="O450" s="7" t="s">
        <v>39</v>
      </c>
      <c r="P450" s="27">
        <v>0.1</v>
      </c>
      <c r="Q450" s="28" t="s">
        <v>1602</v>
      </c>
      <c r="R450" s="145"/>
      <c r="S450" s="7" t="s">
        <v>127</v>
      </c>
      <c r="T450" s="7" t="s">
        <v>1603</v>
      </c>
      <c r="U450" s="7" t="s">
        <v>202</v>
      </c>
      <c r="V450" s="24" t="e">
        <f t="shared" ca="1" si="14"/>
        <v>#NAME?</v>
      </c>
      <c r="W450" s="7"/>
      <c r="X450" s="7"/>
      <c r="Y450" s="29" t="s">
        <v>129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1604</v>
      </c>
      <c r="C451" s="4" t="s">
        <v>1605</v>
      </c>
      <c r="D451" s="7" t="s">
        <v>19</v>
      </c>
      <c r="E451" s="7" t="s">
        <v>35</v>
      </c>
      <c r="F451" s="7" t="s">
        <v>199</v>
      </c>
      <c r="G451" s="7" t="e">
        <f t="shared" ca="1" si="13"/>
        <v>#NAME?</v>
      </c>
      <c r="H451" s="24" t="s">
        <v>125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127</v>
      </c>
      <c r="T451" s="7" t="s">
        <v>1603</v>
      </c>
      <c r="U451" s="7" t="s">
        <v>202</v>
      </c>
      <c r="V451" s="24" t="e">
        <f t="shared" ca="1" si="14"/>
        <v>#NAME?</v>
      </c>
      <c r="W451" s="7"/>
      <c r="X451" s="7"/>
      <c r="Y451" s="29" t="s">
        <v>129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1606</v>
      </c>
      <c r="C452" s="4" t="s">
        <v>1607</v>
      </c>
      <c r="D452" s="7" t="s">
        <v>46</v>
      </c>
      <c r="E452" s="7" t="s">
        <v>20</v>
      </c>
      <c r="F452" s="7" t="s">
        <v>477</v>
      </c>
      <c r="G452" s="7" t="e">
        <f t="shared" ca="1" si="13"/>
        <v>#NAME?</v>
      </c>
      <c r="H452" s="24" t="s">
        <v>125</v>
      </c>
      <c r="I452" s="24" t="s">
        <v>25</v>
      </c>
      <c r="J452" s="7" t="s">
        <v>1135</v>
      </c>
      <c r="K452" s="25">
        <v>45125</v>
      </c>
      <c r="L452" s="25">
        <v>45566</v>
      </c>
      <c r="M452" s="7" t="s">
        <v>338</v>
      </c>
      <c r="N452" s="26">
        <v>8.5000000000000006E-3</v>
      </c>
      <c r="O452" s="7" t="s">
        <v>25</v>
      </c>
      <c r="P452" s="27">
        <v>0</v>
      </c>
      <c r="Q452" s="90"/>
      <c r="R452" s="90" t="s">
        <v>692</v>
      </c>
      <c r="S452" s="7" t="s">
        <v>127</v>
      </c>
      <c r="T452" s="7" t="s">
        <v>1608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1609</v>
      </c>
      <c r="C453" s="4" t="s">
        <v>1610</v>
      </c>
      <c r="D453" s="7" t="s">
        <v>19</v>
      </c>
      <c r="E453" s="7" t="s">
        <v>20</v>
      </c>
      <c r="F453" s="7" t="s">
        <v>360</v>
      </c>
      <c r="G453" s="7" t="e">
        <f t="shared" ca="1" si="13"/>
        <v>#NAME?</v>
      </c>
      <c r="H453" s="24" t="s">
        <v>134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1611</v>
      </c>
      <c r="R453" s="90"/>
      <c r="S453" s="7" t="s">
        <v>127</v>
      </c>
      <c r="T453" s="7" t="s">
        <v>1612</v>
      </c>
      <c r="U453" s="7" t="s">
        <v>20</v>
      </c>
      <c r="V453" s="24" t="e">
        <f t="shared" ca="1" si="14"/>
        <v>#NAME?</v>
      </c>
      <c r="W453" s="7"/>
      <c r="X453" s="7"/>
      <c r="Y453" s="29" t="s">
        <v>240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1613</v>
      </c>
      <c r="C454" s="4" t="s">
        <v>1614</v>
      </c>
      <c r="D454" s="7" t="s">
        <v>46</v>
      </c>
      <c r="E454" s="7" t="s">
        <v>20</v>
      </c>
      <c r="F454" s="7" t="s">
        <v>477</v>
      </c>
      <c r="G454" s="7" t="e">
        <f t="shared" ca="1" si="13"/>
        <v>#NAME?</v>
      </c>
      <c r="H454" s="24" t="s">
        <v>145</v>
      </c>
      <c r="I454" s="24" t="s">
        <v>229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692</v>
      </c>
      <c r="S454" s="7" t="s">
        <v>127</v>
      </c>
      <c r="T454" s="7" t="s">
        <v>1615</v>
      </c>
      <c r="U454" s="7" t="s">
        <v>20</v>
      </c>
      <c r="V454" s="24" t="e">
        <f t="shared" ca="1" si="14"/>
        <v>#NAME?</v>
      </c>
      <c r="W454" s="7"/>
      <c r="X454" s="7"/>
      <c r="Y454" s="29" t="s">
        <v>129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1616</v>
      </c>
      <c r="C455" s="4" t="s">
        <v>1617</v>
      </c>
      <c r="D455" s="7" t="s">
        <v>19</v>
      </c>
      <c r="E455" s="7" t="s">
        <v>20</v>
      </c>
      <c r="F455" s="7" t="s">
        <v>360</v>
      </c>
      <c r="G455" s="7" t="e">
        <f t="shared" ca="1" si="13"/>
        <v>#NAME?</v>
      </c>
      <c r="H455" s="24" t="s">
        <v>145</v>
      </c>
      <c r="I455" s="24" t="s">
        <v>146</v>
      </c>
      <c r="J455" s="7" t="str">
        <f t="shared" si="22"/>
        <v>Não</v>
      </c>
      <c r="K455" s="25">
        <v>44931</v>
      </c>
      <c r="L455" s="7"/>
      <c r="M455" s="4" t="s">
        <v>242</v>
      </c>
      <c r="N455" s="26">
        <v>2.5000000000000001E-2</v>
      </c>
      <c r="O455" s="7" t="s">
        <v>167</v>
      </c>
      <c r="P455" s="27">
        <v>0.2</v>
      </c>
      <c r="Q455" s="28"/>
      <c r="R455" s="90"/>
      <c r="S455" s="7" t="s">
        <v>127</v>
      </c>
      <c r="T455" s="7" t="s">
        <v>1618</v>
      </c>
      <c r="U455" s="7" t="s">
        <v>20</v>
      </c>
      <c r="V455" s="24" t="e">
        <f t="shared" ca="1" si="14"/>
        <v>#NAME?</v>
      </c>
      <c r="W455" s="7"/>
      <c r="X455" s="7"/>
      <c r="Y455" s="29" t="s">
        <v>129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1619</v>
      </c>
      <c r="C456" s="4" t="s">
        <v>1620</v>
      </c>
      <c r="D456" s="7" t="s">
        <v>19</v>
      </c>
      <c r="E456" s="7" t="s">
        <v>20</v>
      </c>
      <c r="F456" s="7" t="s">
        <v>360</v>
      </c>
      <c r="G456" s="7" t="e">
        <f t="shared" ca="1" si="13"/>
        <v>#NAME?</v>
      </c>
      <c r="H456" s="24" t="s">
        <v>134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127</v>
      </c>
      <c r="T456" s="7" t="s">
        <v>1618</v>
      </c>
      <c r="U456" s="7" t="s">
        <v>20</v>
      </c>
      <c r="V456" s="24" t="e">
        <f t="shared" ca="1" si="14"/>
        <v>#NAME?</v>
      </c>
      <c r="W456" s="7"/>
      <c r="X456" s="7"/>
      <c r="Y456" s="29" t="s">
        <v>129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1621</v>
      </c>
      <c r="C457" s="148" t="s">
        <v>1622</v>
      </c>
      <c r="D457" s="149" t="s">
        <v>46</v>
      </c>
      <c r="E457" s="149" t="s">
        <v>20</v>
      </c>
      <c r="F457" s="7" t="s">
        <v>477</v>
      </c>
      <c r="G457" s="7" t="e">
        <f t="shared" ca="1" si="13"/>
        <v>#NAME?</v>
      </c>
      <c r="H457" s="150" t="s">
        <v>125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1001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692</v>
      </c>
      <c r="S457" s="149" t="s">
        <v>127</v>
      </c>
      <c r="T457" s="7" t="s">
        <v>1623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129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1624</v>
      </c>
      <c r="C458" s="4" t="s">
        <v>1625</v>
      </c>
      <c r="D458" s="7" t="s">
        <v>19</v>
      </c>
      <c r="E458" s="7" t="s">
        <v>66</v>
      </c>
      <c r="F458" s="7" t="s">
        <v>67</v>
      </c>
      <c r="G458" s="7" t="e">
        <f t="shared" ca="1" si="13"/>
        <v>#NAME?</v>
      </c>
      <c r="H458" s="24" t="s">
        <v>134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185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127</v>
      </c>
      <c r="T458" s="7" t="s">
        <v>1626</v>
      </c>
      <c r="U458" s="7" t="s">
        <v>66</v>
      </c>
      <c r="V458" s="24" t="e">
        <f t="shared" ca="1" si="14"/>
        <v>#NAME?</v>
      </c>
      <c r="W458" s="7"/>
      <c r="X458" s="7"/>
      <c r="Y458" s="29" t="s">
        <v>129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1627</v>
      </c>
      <c r="C459" s="4" t="s">
        <v>1628</v>
      </c>
      <c r="D459" s="7" t="s">
        <v>19</v>
      </c>
      <c r="E459" s="7" t="s">
        <v>66</v>
      </c>
      <c r="F459" s="7" t="s">
        <v>316</v>
      </c>
      <c r="G459" s="7" t="e">
        <f t="shared" ca="1" si="13"/>
        <v>#NAME?</v>
      </c>
      <c r="H459" s="24" t="s">
        <v>145</v>
      </c>
      <c r="I459" s="24" t="s">
        <v>190</v>
      </c>
      <c r="J459" s="7" t="s">
        <v>165</v>
      </c>
      <c r="K459" s="25">
        <v>45398</v>
      </c>
      <c r="L459" s="7"/>
      <c r="M459" s="7" t="s">
        <v>587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127</v>
      </c>
      <c r="T459" s="7" t="s">
        <v>1629</v>
      </c>
      <c r="U459" s="7" t="s">
        <v>66</v>
      </c>
      <c r="V459" s="24" t="e">
        <f t="shared" ca="1" si="14"/>
        <v>#NAME?</v>
      </c>
      <c r="W459" s="7"/>
      <c r="X459" s="7"/>
      <c r="Y459" s="29" t="s">
        <v>129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1627</v>
      </c>
      <c r="C460" s="4" t="s">
        <v>1630</v>
      </c>
      <c r="D460" s="7" t="s">
        <v>19</v>
      </c>
      <c r="E460" s="7" t="s">
        <v>66</v>
      </c>
      <c r="F460" s="7" t="s">
        <v>316</v>
      </c>
      <c r="G460" s="7" t="e">
        <f t="shared" ca="1" si="13"/>
        <v>#NAME?</v>
      </c>
      <c r="H460" s="24" t="s">
        <v>134</v>
      </c>
      <c r="I460" s="24" t="s">
        <v>25</v>
      </c>
      <c r="J460" s="7" t="s">
        <v>165</v>
      </c>
      <c r="K460" s="25">
        <v>45432</v>
      </c>
      <c r="L460" s="7"/>
      <c r="M460" s="7" t="s">
        <v>272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127</v>
      </c>
      <c r="T460" s="7" t="s">
        <v>1629</v>
      </c>
      <c r="U460" s="7" t="s">
        <v>66</v>
      </c>
      <c r="V460" s="24" t="e">
        <f t="shared" ca="1" si="14"/>
        <v>#NAME?</v>
      </c>
      <c r="W460" s="7"/>
      <c r="X460" s="7"/>
      <c r="Y460" s="29" t="s">
        <v>129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1631</v>
      </c>
      <c r="C461" s="49" t="s">
        <v>1632</v>
      </c>
      <c r="D461" s="7" t="s">
        <v>19</v>
      </c>
      <c r="E461" s="7" t="s">
        <v>35</v>
      </c>
      <c r="F461" s="7" t="s">
        <v>250</v>
      </c>
      <c r="G461" s="7" t="e">
        <f t="shared" ca="1" si="13"/>
        <v>#NAME?</v>
      </c>
      <c r="H461" s="24" t="s">
        <v>134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185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127</v>
      </c>
      <c r="T461" s="7" t="s">
        <v>1633</v>
      </c>
      <c r="U461" s="7" t="s">
        <v>41</v>
      </c>
      <c r="V461" s="24" t="e">
        <f t="shared" ca="1" si="14"/>
        <v>#NAME?</v>
      </c>
      <c r="W461" s="7"/>
      <c r="X461" s="7"/>
      <c r="Y461" s="29" t="s">
        <v>421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1631</v>
      </c>
      <c r="C462" s="55" t="s">
        <v>1634</v>
      </c>
      <c r="D462" s="7" t="s">
        <v>19</v>
      </c>
      <c r="E462" s="7" t="s">
        <v>35</v>
      </c>
      <c r="F462" s="7" t="s">
        <v>250</v>
      </c>
      <c r="G462" s="7" t="e">
        <f t="shared" ca="1" si="13"/>
        <v>#NAME?</v>
      </c>
      <c r="H462" s="24" t="s">
        <v>145</v>
      </c>
      <c r="I462" s="24" t="s">
        <v>208</v>
      </c>
      <c r="J462" s="7" t="str">
        <f t="shared" si="23"/>
        <v>Não</v>
      </c>
      <c r="K462" s="25">
        <v>45364</v>
      </c>
      <c r="L462" s="25"/>
      <c r="M462" s="7" t="s">
        <v>156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127</v>
      </c>
      <c r="T462" s="7" t="s">
        <v>1633</v>
      </c>
      <c r="U462" s="7" t="s">
        <v>41</v>
      </c>
      <c r="V462" s="24" t="e">
        <f t="shared" ca="1" si="14"/>
        <v>#NAME?</v>
      </c>
      <c r="W462" s="7"/>
      <c r="X462" s="7"/>
      <c r="Y462" s="29" t="s">
        <v>421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1635</v>
      </c>
      <c r="C463" s="4" t="s">
        <v>1636</v>
      </c>
      <c r="D463" s="7" t="s">
        <v>19</v>
      </c>
      <c r="E463" s="7" t="s">
        <v>66</v>
      </c>
      <c r="F463" s="7" t="s">
        <v>144</v>
      </c>
      <c r="G463" s="7" t="e">
        <f t="shared" ca="1" si="13"/>
        <v>#NAME?</v>
      </c>
      <c r="H463" s="24" t="s">
        <v>145</v>
      </c>
      <c r="I463" s="24" t="s">
        <v>146</v>
      </c>
      <c r="J463" s="7" t="str">
        <f t="shared" si="23"/>
        <v>Não</v>
      </c>
      <c r="K463" s="25">
        <v>45014</v>
      </c>
      <c r="L463" s="7"/>
      <c r="M463" s="7" t="s">
        <v>242</v>
      </c>
      <c r="N463" s="26">
        <v>2.5000000000000001E-2</v>
      </c>
      <c r="O463" s="7" t="s">
        <v>167</v>
      </c>
      <c r="P463" s="27">
        <v>0.2</v>
      </c>
      <c r="Q463" s="90"/>
      <c r="R463" s="90"/>
      <c r="S463" s="7" t="s">
        <v>127</v>
      </c>
      <c r="T463" s="7" t="s">
        <v>1637</v>
      </c>
      <c r="U463" s="7" t="s">
        <v>66</v>
      </c>
      <c r="V463" s="24" t="e">
        <f t="shared" ca="1" si="14"/>
        <v>#NAME?</v>
      </c>
      <c r="W463" s="7"/>
      <c r="X463" s="7"/>
      <c r="Y463" s="29" t="s">
        <v>129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1638</v>
      </c>
      <c r="C464" s="4" t="s">
        <v>1639</v>
      </c>
      <c r="D464" s="7" t="s">
        <v>179</v>
      </c>
      <c r="E464" s="7" t="s">
        <v>20</v>
      </c>
      <c r="F464" s="7" t="s">
        <v>180</v>
      </c>
      <c r="G464" s="7" t="e">
        <f t="shared" ca="1" si="13"/>
        <v>#NAME?</v>
      </c>
      <c r="H464" s="24" t="s">
        <v>134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127</v>
      </c>
      <c r="T464" s="7" t="s">
        <v>1640</v>
      </c>
      <c r="U464" s="7" t="s">
        <v>20</v>
      </c>
      <c r="V464" s="24" t="e">
        <f t="shared" ca="1" si="14"/>
        <v>#NAME?</v>
      </c>
      <c r="W464" s="7"/>
      <c r="X464" s="7" t="s">
        <v>137</v>
      </c>
      <c r="Y464" s="29" t="s">
        <v>129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1641</v>
      </c>
      <c r="C465" s="4" t="s">
        <v>1642</v>
      </c>
      <c r="D465" s="7" t="s">
        <v>19</v>
      </c>
      <c r="E465" s="7" t="s">
        <v>66</v>
      </c>
      <c r="F465" s="7" t="s">
        <v>316</v>
      </c>
      <c r="G465" s="7" t="e">
        <f t="shared" ca="1" si="13"/>
        <v>#NAME?</v>
      </c>
      <c r="H465" s="24" t="s">
        <v>134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127</v>
      </c>
      <c r="T465" s="7" t="s">
        <v>1643</v>
      </c>
      <c r="U465" s="7" t="s">
        <v>66</v>
      </c>
      <c r="V465" s="24" t="e">
        <f t="shared" ca="1" si="14"/>
        <v>#NAME?</v>
      </c>
      <c r="W465" s="7"/>
      <c r="X465" s="7"/>
      <c r="Y465" s="29" t="s">
        <v>240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1644</v>
      </c>
      <c r="C466" s="4" t="s">
        <v>1645</v>
      </c>
      <c r="D466" s="7" t="s">
        <v>19</v>
      </c>
      <c r="E466" s="7" t="s">
        <v>66</v>
      </c>
      <c r="F466" s="7" t="s">
        <v>316</v>
      </c>
      <c r="G466" s="7" t="e">
        <f t="shared" ca="1" si="13"/>
        <v>#NAME?</v>
      </c>
      <c r="H466" s="24" t="s">
        <v>134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1646</v>
      </c>
      <c r="R466" s="28"/>
      <c r="S466" s="7" t="s">
        <v>127</v>
      </c>
      <c r="T466" s="7" t="s">
        <v>1647</v>
      </c>
      <c r="U466" s="7" t="s">
        <v>793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1648</v>
      </c>
      <c r="C467" s="4" t="s">
        <v>1649</v>
      </c>
      <c r="D467" s="7" t="s">
        <v>19</v>
      </c>
      <c r="E467" s="7" t="s">
        <v>20</v>
      </c>
      <c r="F467" s="7" t="s">
        <v>257</v>
      </c>
      <c r="G467" s="7" t="e">
        <f t="shared" ca="1" si="13"/>
        <v>#NAME?</v>
      </c>
      <c r="H467" s="24" t="s">
        <v>134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185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127</v>
      </c>
      <c r="T467" s="7" t="s">
        <v>1650</v>
      </c>
      <c r="U467" s="7" t="s">
        <v>41</v>
      </c>
      <c r="V467" s="24" t="e">
        <f t="shared" ca="1" si="14"/>
        <v>#NAME?</v>
      </c>
      <c r="W467" s="7"/>
      <c r="X467" s="7"/>
      <c r="Y467" s="29" t="s">
        <v>129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1651</v>
      </c>
      <c r="C468" s="4" t="s">
        <v>1652</v>
      </c>
      <c r="D468" s="7" t="s">
        <v>46</v>
      </c>
      <c r="E468" s="7" t="s">
        <v>20</v>
      </c>
      <c r="F468" s="7" t="s">
        <v>124</v>
      </c>
      <c r="G468" s="7" t="e">
        <f t="shared" ca="1" si="13"/>
        <v>#NAME?</v>
      </c>
      <c r="H468" s="24" t="s">
        <v>145</v>
      </c>
      <c r="I468" s="24" t="s">
        <v>229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127</v>
      </c>
      <c r="T468" s="7" t="s">
        <v>1653</v>
      </c>
      <c r="U468" s="7" t="s">
        <v>1654</v>
      </c>
      <c r="V468" s="24" t="e">
        <f t="shared" ca="1" si="14"/>
        <v>#NAME?</v>
      </c>
      <c r="W468" s="7"/>
      <c r="X468" s="7"/>
      <c r="Y468" s="29" t="s">
        <v>129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1655</v>
      </c>
      <c r="C469" s="4" t="s">
        <v>1656</v>
      </c>
      <c r="D469" s="7" t="s">
        <v>46</v>
      </c>
      <c r="E469" s="7" t="s">
        <v>20</v>
      </c>
      <c r="F469" s="7" t="s">
        <v>189</v>
      </c>
      <c r="G469" s="7" t="e">
        <f t="shared" ca="1" si="13"/>
        <v>#NAME?</v>
      </c>
      <c r="H469" s="24" t="s">
        <v>145</v>
      </c>
      <c r="I469" s="24" t="s">
        <v>190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127</v>
      </c>
      <c r="T469" s="7" t="s">
        <v>1657</v>
      </c>
      <c r="U469" s="7" t="s">
        <v>48</v>
      </c>
      <c r="V469" s="24" t="e">
        <f t="shared" ca="1" si="14"/>
        <v>#NAME?</v>
      </c>
      <c r="W469" s="7"/>
      <c r="X469" s="7" t="s">
        <v>137</v>
      </c>
      <c r="Y469" s="29" t="s">
        <v>129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1658</v>
      </c>
      <c r="C470" s="44" t="s">
        <v>1659</v>
      </c>
      <c r="D470" s="7" t="s">
        <v>19</v>
      </c>
      <c r="E470" s="7" t="s">
        <v>20</v>
      </c>
      <c r="F470" s="7" t="s">
        <v>791</v>
      </c>
      <c r="G470" s="7" t="e">
        <f t="shared" ca="1" si="13"/>
        <v>#NAME?</v>
      </c>
      <c r="H470" s="24" t="s">
        <v>145</v>
      </c>
      <c r="I470" s="24" t="s">
        <v>146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127</v>
      </c>
      <c r="T470" s="7" t="s">
        <v>1660</v>
      </c>
      <c r="U470" s="7" t="s">
        <v>20</v>
      </c>
      <c r="V470" s="24" t="e">
        <f t="shared" ca="1" si="14"/>
        <v>#NAME?</v>
      </c>
      <c r="W470" s="7"/>
      <c r="X470" s="7"/>
      <c r="Y470" s="29" t="s">
        <v>129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1661</v>
      </c>
      <c r="C471" s="4" t="s">
        <v>1662</v>
      </c>
      <c r="D471" s="7" t="s">
        <v>19</v>
      </c>
      <c r="E471" s="7" t="s">
        <v>66</v>
      </c>
      <c r="F471" s="7" t="s">
        <v>67</v>
      </c>
      <c r="G471" s="7" t="e">
        <f t="shared" ca="1" si="13"/>
        <v>#NAME?</v>
      </c>
      <c r="H471" s="24" t="s">
        <v>125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1663</v>
      </c>
      <c r="S471" s="7" t="s">
        <v>127</v>
      </c>
      <c r="T471" s="7" t="s">
        <v>1664</v>
      </c>
      <c r="U471" s="7" t="s">
        <v>66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1661</v>
      </c>
      <c r="C472" s="4" t="s">
        <v>1665</v>
      </c>
      <c r="D472" s="7" t="s">
        <v>19</v>
      </c>
      <c r="E472" s="7" t="s">
        <v>66</v>
      </c>
      <c r="F472" s="7" t="s">
        <v>67</v>
      </c>
      <c r="G472" s="7" t="e">
        <f t="shared" ca="1" si="13"/>
        <v>#NAME?</v>
      </c>
      <c r="H472" s="24" t="s">
        <v>125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1663</v>
      </c>
      <c r="S472" s="7" t="s">
        <v>127</v>
      </c>
      <c r="T472" s="7" t="s">
        <v>1664</v>
      </c>
      <c r="U472" s="7" t="s">
        <v>66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1666</v>
      </c>
      <c r="C473" s="4" t="s">
        <v>1667</v>
      </c>
      <c r="D473" s="7" t="s">
        <v>19</v>
      </c>
      <c r="E473" s="7" t="s">
        <v>20</v>
      </c>
      <c r="F473" s="7" t="s">
        <v>935</v>
      </c>
      <c r="G473" s="7" t="e">
        <f t="shared" ca="1" si="13"/>
        <v>#NAME?</v>
      </c>
      <c r="H473" s="24" t="s">
        <v>125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1668</v>
      </c>
      <c r="S473" s="7" t="s">
        <v>127</v>
      </c>
      <c r="T473" s="7" t="s">
        <v>1669</v>
      </c>
      <c r="U473" s="7" t="s">
        <v>20</v>
      </c>
      <c r="V473" s="24" t="e">
        <f t="shared" ca="1" si="14"/>
        <v>#NAME?</v>
      </c>
      <c r="W473" s="7"/>
      <c r="X473" s="7"/>
      <c r="Y473" s="29" t="s">
        <v>240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1670</v>
      </c>
      <c r="C474" s="4" t="s">
        <v>1671</v>
      </c>
      <c r="D474" s="7" t="s">
        <v>19</v>
      </c>
      <c r="E474" s="7" t="s">
        <v>20</v>
      </c>
      <c r="F474" s="7" t="s">
        <v>360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156</v>
      </c>
      <c r="N474" s="26">
        <v>0</v>
      </c>
      <c r="O474" s="7" t="s">
        <v>25</v>
      </c>
      <c r="P474" s="27">
        <v>0</v>
      </c>
      <c r="Q474" s="28"/>
      <c r="R474" s="28" t="s">
        <v>705</v>
      </c>
      <c r="S474" s="7" t="s">
        <v>127</v>
      </c>
      <c r="T474" s="7" t="s">
        <v>1672</v>
      </c>
      <c r="U474" s="7" t="s">
        <v>20</v>
      </c>
      <c r="V474" s="24" t="e">
        <f t="shared" ca="1" si="14"/>
        <v>#NAME?</v>
      </c>
      <c r="W474" s="7"/>
      <c r="X474" s="7"/>
      <c r="Y474" s="29" t="s">
        <v>129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1673</v>
      </c>
      <c r="C475" s="4" t="s">
        <v>1674</v>
      </c>
      <c r="D475" s="7" t="s">
        <v>19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134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185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127</v>
      </c>
      <c r="T475" s="7" t="s">
        <v>1675</v>
      </c>
      <c r="U475" s="7" t="s">
        <v>1676</v>
      </c>
      <c r="V475" s="24" t="e">
        <f t="shared" ca="1" si="14"/>
        <v>#NAME?</v>
      </c>
      <c r="W475" s="7"/>
      <c r="X475" s="7"/>
      <c r="Y475" s="29" t="s">
        <v>129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1677</v>
      </c>
      <c r="C476" s="4" t="s">
        <v>1678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134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127</v>
      </c>
      <c r="T476" s="7" t="s">
        <v>1679</v>
      </c>
      <c r="U476" s="7" t="s">
        <v>20</v>
      </c>
      <c r="V476" s="24" t="e">
        <f t="shared" ca="1" si="14"/>
        <v>#NAME?</v>
      </c>
      <c r="W476" s="7"/>
      <c r="X476" s="7"/>
      <c r="Y476" s="29" t="s">
        <v>129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1680</v>
      </c>
      <c r="C477" s="4" t="s">
        <v>1681</v>
      </c>
      <c r="D477" s="7" t="s">
        <v>19</v>
      </c>
      <c r="E477" s="7" t="s">
        <v>20</v>
      </c>
      <c r="F477" s="7" t="s">
        <v>184</v>
      </c>
      <c r="G477" s="7" t="e">
        <f t="shared" ca="1" si="13"/>
        <v>#NAME?</v>
      </c>
      <c r="H477" s="24" t="s">
        <v>125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1682</v>
      </c>
      <c r="S477" s="7" t="s">
        <v>127</v>
      </c>
      <c r="T477" s="7" t="s">
        <v>1683</v>
      </c>
      <c r="U477" s="7" t="s">
        <v>66</v>
      </c>
      <c r="V477" s="24" t="e">
        <f t="shared" ca="1" si="14"/>
        <v>#NAME?</v>
      </c>
      <c r="W477" s="7"/>
      <c r="X477" s="7"/>
      <c r="Y477" s="29" t="s">
        <v>240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1684</v>
      </c>
      <c r="C478" s="4" t="s">
        <v>1685</v>
      </c>
      <c r="D478" s="7" t="s">
        <v>179</v>
      </c>
      <c r="E478" s="7" t="s">
        <v>20</v>
      </c>
      <c r="F478" s="7" t="s">
        <v>180</v>
      </c>
      <c r="G478" s="7" t="e">
        <f t="shared" ca="1" si="13"/>
        <v>#NAME?</v>
      </c>
      <c r="H478" s="24" t="s">
        <v>134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127</v>
      </c>
      <c r="T478" s="7" t="s">
        <v>1686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1687</v>
      </c>
      <c r="C479" s="4" t="s">
        <v>1688</v>
      </c>
      <c r="D479" s="7" t="s">
        <v>71</v>
      </c>
      <c r="E479" s="7" t="s">
        <v>66</v>
      </c>
      <c r="F479" s="7" t="s">
        <v>72</v>
      </c>
      <c r="G479" s="7" t="e">
        <f t="shared" ca="1" si="13"/>
        <v>#NAME?</v>
      </c>
      <c r="H479" s="24" t="s">
        <v>134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127</v>
      </c>
      <c r="T479" s="7" t="s">
        <v>1689</v>
      </c>
      <c r="U479" s="7" t="s">
        <v>66</v>
      </c>
      <c r="V479" s="24" t="e">
        <f t="shared" ca="1" si="14"/>
        <v>#NAME?</v>
      </c>
      <c r="W479" s="7"/>
      <c r="X479" s="7"/>
      <c r="Y479" s="29" t="s">
        <v>129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1690</v>
      </c>
      <c r="C480" s="4" t="s">
        <v>1691</v>
      </c>
      <c r="D480" s="7" t="s">
        <v>46</v>
      </c>
      <c r="E480" s="7" t="s">
        <v>20</v>
      </c>
      <c r="F480" s="7" t="s">
        <v>189</v>
      </c>
      <c r="G480" s="7" t="e">
        <f t="shared" ca="1" si="13"/>
        <v>#NAME?</v>
      </c>
      <c r="H480" s="24" t="s">
        <v>125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185</v>
      </c>
      <c r="N480" s="26">
        <v>1.4999999999999999E-2</v>
      </c>
      <c r="O480" s="7" t="s">
        <v>39</v>
      </c>
      <c r="P480" s="27">
        <v>0.1</v>
      </c>
      <c r="Q480" s="28"/>
      <c r="R480" s="28" t="s">
        <v>1692</v>
      </c>
      <c r="S480" s="7" t="s">
        <v>127</v>
      </c>
      <c r="T480" s="7" t="s">
        <v>1693</v>
      </c>
      <c r="U480" s="7" t="s">
        <v>20</v>
      </c>
      <c r="V480" s="24" t="e">
        <f t="shared" ca="1" si="14"/>
        <v>#NAME?</v>
      </c>
      <c r="W480" s="7"/>
      <c r="X480" s="7"/>
      <c r="Y480" s="29" t="s">
        <v>129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1694</v>
      </c>
      <c r="C481" s="4" t="s">
        <v>1695</v>
      </c>
      <c r="D481" s="7" t="s">
        <v>19</v>
      </c>
      <c r="E481" s="7" t="s">
        <v>66</v>
      </c>
      <c r="F481" s="7" t="s">
        <v>316</v>
      </c>
      <c r="G481" s="7" t="e">
        <f t="shared" ca="1" si="13"/>
        <v>#NAME?</v>
      </c>
      <c r="H481" s="24" t="s">
        <v>134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1696</v>
      </c>
      <c r="R481" s="28" t="s">
        <v>1697</v>
      </c>
      <c r="S481" s="7" t="s">
        <v>127</v>
      </c>
      <c r="T481" s="7" t="s">
        <v>1698</v>
      </c>
      <c r="U481" s="7" t="s">
        <v>66</v>
      </c>
      <c r="V481" s="24" t="e">
        <f t="shared" ca="1" si="14"/>
        <v>#NAME?</v>
      </c>
      <c r="W481" s="7"/>
      <c r="X481" s="7"/>
      <c r="Y481" s="29" t="s">
        <v>129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1699</v>
      </c>
      <c r="C482" s="4" t="s">
        <v>1700</v>
      </c>
      <c r="D482" s="7" t="s">
        <v>19</v>
      </c>
      <c r="E482" s="7" t="s">
        <v>66</v>
      </c>
      <c r="F482" s="7" t="s">
        <v>144</v>
      </c>
      <c r="G482" s="7" t="e">
        <f t="shared" ca="1" si="13"/>
        <v>#NAME?</v>
      </c>
      <c r="H482" s="24" t="s">
        <v>145</v>
      </c>
      <c r="I482" s="24" t="s">
        <v>146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127</v>
      </c>
      <c r="T482" s="7" t="s">
        <v>1701</v>
      </c>
      <c r="U482" s="7" t="s">
        <v>66</v>
      </c>
      <c r="V482" s="24" t="e">
        <f t="shared" ca="1" si="14"/>
        <v>#NAME?</v>
      </c>
      <c r="W482" s="7"/>
      <c r="X482" s="7"/>
      <c r="Y482" s="29" t="s">
        <v>129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1702</v>
      </c>
      <c r="C483" s="141" t="s">
        <v>1703</v>
      </c>
      <c r="D483" s="7" t="s">
        <v>19</v>
      </c>
      <c r="E483" s="7" t="s">
        <v>66</v>
      </c>
      <c r="F483" s="7" t="s">
        <v>316</v>
      </c>
      <c r="G483" s="7" t="e">
        <f t="shared" ca="1" si="13"/>
        <v>#NAME?</v>
      </c>
      <c r="H483" s="24" t="s">
        <v>145</v>
      </c>
      <c r="I483" s="24" t="s">
        <v>208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1499</v>
      </c>
      <c r="S483" s="7" t="s">
        <v>127</v>
      </c>
      <c r="T483" s="7" t="s">
        <v>1704</v>
      </c>
      <c r="U483" s="7" t="s">
        <v>66</v>
      </c>
      <c r="V483" s="24" t="e">
        <f t="shared" ca="1" si="14"/>
        <v>#NAME?</v>
      </c>
      <c r="W483" s="7"/>
      <c r="X483" s="7"/>
      <c r="Y483" s="29" t="s">
        <v>129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1705</v>
      </c>
      <c r="C484" s="4" t="s">
        <v>1706</v>
      </c>
      <c r="D484" s="7" t="s">
        <v>19</v>
      </c>
      <c r="E484" s="7" t="s">
        <v>20</v>
      </c>
      <c r="F484" s="7" t="s">
        <v>184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127</v>
      </c>
      <c r="T484" s="7" t="s">
        <v>1707</v>
      </c>
      <c r="U484" s="7" t="s">
        <v>575</v>
      </c>
      <c r="V484" s="24" t="e">
        <f t="shared" ca="1" si="14"/>
        <v>#NAME?</v>
      </c>
      <c r="W484" s="7"/>
      <c r="X484" s="7"/>
      <c r="Y484" s="29" t="s">
        <v>129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1708</v>
      </c>
      <c r="C485" s="4" t="s">
        <v>1709</v>
      </c>
      <c r="D485" s="7" t="s">
        <v>19</v>
      </c>
      <c r="E485" s="7" t="s">
        <v>20</v>
      </c>
      <c r="F485" s="7" t="s">
        <v>360</v>
      </c>
      <c r="G485" s="7" t="e">
        <f t="shared" ca="1" si="13"/>
        <v>#NAME?</v>
      </c>
      <c r="H485" s="24" t="s">
        <v>125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333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127</v>
      </c>
      <c r="T485" s="7" t="s">
        <v>1710</v>
      </c>
      <c r="U485" s="7" t="s">
        <v>20</v>
      </c>
      <c r="V485" s="24" t="e">
        <f t="shared" ca="1" si="14"/>
        <v>#NAME?</v>
      </c>
      <c r="W485" s="7"/>
      <c r="X485" s="7"/>
      <c r="Y485" s="29" t="s">
        <v>129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1711</v>
      </c>
      <c r="C486" s="4" t="s">
        <v>1712</v>
      </c>
      <c r="D486" s="7" t="s">
        <v>19</v>
      </c>
      <c r="E486" s="7" t="s">
        <v>20</v>
      </c>
      <c r="F486" s="7" t="s">
        <v>184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127</v>
      </c>
      <c r="T486" s="7" t="s">
        <v>1713</v>
      </c>
      <c r="U486" s="7" t="s">
        <v>66</v>
      </c>
      <c r="V486" s="24" t="e">
        <f t="shared" ca="1" si="14"/>
        <v>#NAME?</v>
      </c>
      <c r="W486" s="7"/>
      <c r="X486" s="7" t="s">
        <v>137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1714</v>
      </c>
      <c r="C487" s="4" t="s">
        <v>1715</v>
      </c>
      <c r="D487" s="7" t="s">
        <v>19</v>
      </c>
      <c r="E487" s="7" t="s">
        <v>20</v>
      </c>
      <c r="F487" s="7" t="s">
        <v>1716</v>
      </c>
      <c r="G487" s="7" t="e">
        <f t="shared" ca="1" si="13"/>
        <v>#NAME?</v>
      </c>
      <c r="H487" s="24" t="s">
        <v>125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185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127</v>
      </c>
      <c r="T487" s="7" t="s">
        <v>1717</v>
      </c>
      <c r="U487" s="7" t="s">
        <v>20</v>
      </c>
      <c r="V487" s="24" t="e">
        <f t="shared" ca="1" si="14"/>
        <v>#NAME?</v>
      </c>
      <c r="W487" s="7"/>
      <c r="X487" s="7"/>
      <c r="Y487" s="29" t="s">
        <v>240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1718</v>
      </c>
      <c r="C488" s="4" t="s">
        <v>1719</v>
      </c>
      <c r="D488" s="7" t="s">
        <v>46</v>
      </c>
      <c r="E488" s="7" t="s">
        <v>20</v>
      </c>
      <c r="F488" s="7" t="s">
        <v>124</v>
      </c>
      <c r="G488" s="7" t="e">
        <f t="shared" ca="1" si="13"/>
        <v>#NAME?</v>
      </c>
      <c r="H488" s="24" t="s">
        <v>125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1720</v>
      </c>
      <c r="S488" s="7" t="s">
        <v>127</v>
      </c>
      <c r="T488" s="7" t="s">
        <v>1721</v>
      </c>
      <c r="U488" s="7" t="s">
        <v>20</v>
      </c>
      <c r="V488" s="24" t="e">
        <f t="shared" ca="1" si="14"/>
        <v>#NAME?</v>
      </c>
      <c r="W488" s="7"/>
      <c r="X488" s="7"/>
      <c r="Y488" s="29" t="s">
        <v>129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1722</v>
      </c>
      <c r="C489" s="4" t="s">
        <v>1723</v>
      </c>
      <c r="D489" s="7" t="s">
        <v>19</v>
      </c>
      <c r="E489" s="7" t="s">
        <v>20</v>
      </c>
      <c r="F489" s="7" t="s">
        <v>184</v>
      </c>
      <c r="G489" s="7" t="e">
        <f t="shared" ca="1" si="13"/>
        <v>#NAME?</v>
      </c>
      <c r="H489" s="24" t="s">
        <v>134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127</v>
      </c>
      <c r="T489" s="7" t="s">
        <v>1724</v>
      </c>
      <c r="U489" s="7" t="s">
        <v>20</v>
      </c>
      <c r="V489" s="24" t="e">
        <f t="shared" ca="1" si="14"/>
        <v>#NAME?</v>
      </c>
      <c r="W489" s="7"/>
      <c r="X489" s="7"/>
      <c r="Y489" s="29" t="s">
        <v>129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1725</v>
      </c>
      <c r="C490" s="44" t="s">
        <v>1726</v>
      </c>
      <c r="D490" s="7" t="s">
        <v>19</v>
      </c>
      <c r="E490" s="7" t="s">
        <v>20</v>
      </c>
      <c r="F490" s="7" t="s">
        <v>195</v>
      </c>
      <c r="G490" s="7" t="e">
        <f t="shared" ca="1" si="13"/>
        <v>#NAME?</v>
      </c>
      <c r="H490" s="24" t="s">
        <v>134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127</v>
      </c>
      <c r="T490" s="7" t="s">
        <v>1727</v>
      </c>
      <c r="U490" s="7" t="s">
        <v>20</v>
      </c>
      <c r="V490" s="24" t="e">
        <f t="shared" ca="1" si="14"/>
        <v>#NAME?</v>
      </c>
      <c r="W490" s="7"/>
      <c r="X490" s="7"/>
      <c r="Y490" s="29" t="s">
        <v>129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1728</v>
      </c>
      <c r="C491" s="44" t="s">
        <v>1729</v>
      </c>
      <c r="D491" s="7" t="s">
        <v>19</v>
      </c>
      <c r="E491" s="7" t="s">
        <v>20</v>
      </c>
      <c r="F491" s="7" t="s">
        <v>195</v>
      </c>
      <c r="G491" s="7" t="e">
        <f t="shared" ca="1" si="13"/>
        <v>#NAME?</v>
      </c>
      <c r="H491" s="24" t="s">
        <v>150</v>
      </c>
      <c r="I491" s="24" t="s">
        <v>146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127</v>
      </c>
      <c r="T491" s="7" t="s">
        <v>1727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129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1730</v>
      </c>
      <c r="C492" s="44" t="s">
        <v>1731</v>
      </c>
      <c r="D492" s="7" t="s">
        <v>55</v>
      </c>
      <c r="E492" s="7" t="s">
        <v>20</v>
      </c>
      <c r="F492" s="7" t="s">
        <v>374</v>
      </c>
      <c r="G492" s="7" t="e">
        <f t="shared" ca="1" si="13"/>
        <v>#NAME?</v>
      </c>
      <c r="H492" s="24" t="s">
        <v>134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1732</v>
      </c>
      <c r="R492" s="28"/>
      <c r="S492" s="7" t="s">
        <v>127</v>
      </c>
      <c r="T492" s="12" t="s">
        <v>1733</v>
      </c>
      <c r="U492" s="7" t="s">
        <v>20</v>
      </c>
      <c r="V492" s="24" t="e">
        <f t="shared" ca="1" si="14"/>
        <v>#NAME?</v>
      </c>
      <c r="W492" s="7"/>
      <c r="X492" s="7"/>
      <c r="Y492" s="29" t="s">
        <v>129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1734</v>
      </c>
      <c r="C493" s="4" t="s">
        <v>1735</v>
      </c>
      <c r="D493" s="7" t="s">
        <v>19</v>
      </c>
      <c r="E493" s="7" t="s">
        <v>35</v>
      </c>
      <c r="F493" s="7" t="s">
        <v>606</v>
      </c>
      <c r="G493" s="7" t="e">
        <f t="shared" ca="1" si="13"/>
        <v>#NAME?</v>
      </c>
      <c r="H493" s="24" t="s">
        <v>134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127</v>
      </c>
      <c r="T493" s="7" t="s">
        <v>1736</v>
      </c>
      <c r="U493" s="7" t="s">
        <v>41</v>
      </c>
      <c r="V493" s="24" t="e">
        <f t="shared" ca="1" si="14"/>
        <v>#NAME?</v>
      </c>
      <c r="W493" s="7"/>
      <c r="X493" s="7"/>
      <c r="Y493" s="29" t="s">
        <v>129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1737</v>
      </c>
      <c r="C494" s="4" t="s">
        <v>1738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1739</v>
      </c>
      <c r="R494" s="28"/>
      <c r="S494" s="7" t="s">
        <v>127</v>
      </c>
      <c r="T494" s="7" t="s">
        <v>1740</v>
      </c>
      <c r="U494" s="7" t="s">
        <v>20</v>
      </c>
      <c r="V494" s="24" t="e">
        <f t="shared" ca="1" si="14"/>
        <v>#NAME?</v>
      </c>
      <c r="W494" s="7"/>
      <c r="X494" s="7" t="s">
        <v>137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1741</v>
      </c>
      <c r="C495" s="4" t="s">
        <v>1742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145</v>
      </c>
      <c r="I495" s="24" t="s">
        <v>146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127</v>
      </c>
      <c r="T495" s="7" t="s">
        <v>1743</v>
      </c>
      <c r="U495" s="7" t="s">
        <v>20</v>
      </c>
      <c r="V495" s="24" t="e">
        <f t="shared" ca="1" si="14"/>
        <v>#NAME?</v>
      </c>
      <c r="W495" s="7"/>
      <c r="X495" s="7"/>
      <c r="Y495" s="29" t="s">
        <v>129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1744</v>
      </c>
      <c r="J496" s="7" t="str">
        <f t="shared" si="23"/>
        <v>Não</v>
      </c>
      <c r="K496" s="25">
        <v>45100</v>
      </c>
      <c r="L496" s="7"/>
      <c r="M496" s="7" t="s">
        <v>345</v>
      </c>
      <c r="N496" s="26">
        <v>7.0000000000000001E-3</v>
      </c>
      <c r="O496" s="7" t="s">
        <v>25</v>
      </c>
      <c r="P496" s="27">
        <v>0</v>
      </c>
      <c r="Q496" s="45"/>
      <c r="R496" s="45" t="s">
        <v>1745</v>
      </c>
      <c r="S496" s="7" t="s">
        <v>127</v>
      </c>
      <c r="T496" s="7" t="s">
        <v>1746</v>
      </c>
      <c r="U496" s="7" t="s">
        <v>20</v>
      </c>
      <c r="V496" s="24" t="e">
        <f t="shared" ca="1" si="14"/>
        <v>#NAME?</v>
      </c>
      <c r="W496" s="7"/>
      <c r="X496" s="7"/>
      <c r="Y496" s="29" t="s">
        <v>129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1747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134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185</v>
      </c>
      <c r="N497" s="26">
        <v>1.4999999999999999E-2</v>
      </c>
      <c r="O497" s="7" t="s">
        <v>39</v>
      </c>
      <c r="P497" s="27">
        <v>0.1</v>
      </c>
      <c r="Q497" s="28" t="s">
        <v>1748</v>
      </c>
      <c r="R497" s="45" t="s">
        <v>1749</v>
      </c>
      <c r="S497" s="7" t="s">
        <v>127</v>
      </c>
      <c r="T497" s="7" t="s">
        <v>1746</v>
      </c>
      <c r="U497" s="7" t="s">
        <v>20</v>
      </c>
      <c r="V497" s="24" t="e">
        <f t="shared" ca="1" si="14"/>
        <v>#NAME?</v>
      </c>
      <c r="W497" s="7"/>
      <c r="X497" s="7"/>
      <c r="Y497" s="29" t="s">
        <v>129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1750</v>
      </c>
      <c r="C498" s="4" t="s">
        <v>1751</v>
      </c>
      <c r="D498" s="7" t="s">
        <v>19</v>
      </c>
      <c r="E498" s="7" t="s">
        <v>20</v>
      </c>
      <c r="F498" s="7" t="s">
        <v>195</v>
      </c>
      <c r="G498" s="7" t="e">
        <f t="shared" ca="1" si="13"/>
        <v>#NAME?</v>
      </c>
      <c r="H498" s="24" t="s">
        <v>125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297</v>
      </c>
      <c r="S498" s="7" t="s">
        <v>127</v>
      </c>
      <c r="T498" s="7" t="s">
        <v>1752</v>
      </c>
      <c r="U498" s="7" t="s">
        <v>48</v>
      </c>
      <c r="V498" s="24" t="e">
        <f t="shared" ca="1" si="14"/>
        <v>#NAME?</v>
      </c>
      <c r="W498" s="7"/>
      <c r="X498" s="7"/>
      <c r="Y498" s="29" t="s">
        <v>129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1753</v>
      </c>
      <c r="C499" s="44" t="s">
        <v>1754</v>
      </c>
      <c r="D499" s="7" t="s">
        <v>19</v>
      </c>
      <c r="E499" s="7" t="s">
        <v>35</v>
      </c>
      <c r="F499" s="7" t="s">
        <v>199</v>
      </c>
      <c r="G499" s="7" t="e">
        <f t="shared" ca="1" si="13"/>
        <v>#NAME?</v>
      </c>
      <c r="H499" s="24" t="s">
        <v>134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185</v>
      </c>
      <c r="N499" s="26">
        <v>1.4999999999999999E-2</v>
      </c>
      <c r="O499" s="7" t="s">
        <v>39</v>
      </c>
      <c r="P499" s="27">
        <v>0.1</v>
      </c>
      <c r="Q499" s="23"/>
      <c r="R499" s="28" t="s">
        <v>431</v>
      </c>
      <c r="S499" s="7" t="s">
        <v>127</v>
      </c>
      <c r="T499" s="7" t="s">
        <v>1755</v>
      </c>
      <c r="U499" s="7" t="s">
        <v>202</v>
      </c>
      <c r="V499" s="24" t="e">
        <f t="shared" ca="1" si="14"/>
        <v>#NAME?</v>
      </c>
      <c r="W499" s="7"/>
      <c r="X499" s="7"/>
      <c r="Y499" s="29" t="s">
        <v>129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1756</v>
      </c>
      <c r="C500" s="44" t="s">
        <v>1757</v>
      </c>
      <c r="D500" s="7" t="s">
        <v>19</v>
      </c>
      <c r="E500" s="7" t="s">
        <v>66</v>
      </c>
      <c r="F500" s="7" t="s">
        <v>67</v>
      </c>
      <c r="G500" s="7" t="e">
        <f t="shared" ca="1" si="13"/>
        <v>#NAME?</v>
      </c>
      <c r="H500" s="24" t="s">
        <v>134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1758</v>
      </c>
      <c r="R500" s="28"/>
      <c r="S500" s="7" t="s">
        <v>127</v>
      </c>
      <c r="T500" s="7" t="s">
        <v>1759</v>
      </c>
      <c r="U500" s="7" t="s">
        <v>66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1760</v>
      </c>
      <c r="C501" s="4" t="s">
        <v>1761</v>
      </c>
      <c r="D501" s="7" t="s">
        <v>19</v>
      </c>
      <c r="E501" s="7" t="s">
        <v>66</v>
      </c>
      <c r="F501" s="7" t="s">
        <v>316</v>
      </c>
      <c r="G501" s="7" t="e">
        <f t="shared" ca="1" si="13"/>
        <v>#NAME?</v>
      </c>
      <c r="H501" s="24" t="s">
        <v>134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185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127</v>
      </c>
      <c r="T501" s="7" t="s">
        <v>1762</v>
      </c>
      <c r="U501" s="7" t="s">
        <v>66</v>
      </c>
      <c r="V501" s="24" t="e">
        <f t="shared" ca="1" si="14"/>
        <v>#NAME?</v>
      </c>
      <c r="W501" s="7"/>
      <c r="X501" s="7"/>
      <c r="Y501" s="29" t="s">
        <v>240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1764</v>
      </c>
      <c r="D502" s="7" t="s">
        <v>71</v>
      </c>
      <c r="E502" s="7" t="s">
        <v>66</v>
      </c>
      <c r="F502" s="7" t="s">
        <v>72</v>
      </c>
      <c r="G502" s="7" t="e">
        <f t="shared" ca="1" si="13"/>
        <v>#NAME?</v>
      </c>
      <c r="H502" s="24" t="s">
        <v>134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127</v>
      </c>
      <c r="T502" s="7" t="s">
        <v>1765</v>
      </c>
      <c r="U502" s="7" t="s">
        <v>20</v>
      </c>
      <c r="V502" s="24" t="e">
        <f t="shared" ca="1" si="14"/>
        <v>#NAME?</v>
      </c>
      <c r="W502" s="7"/>
      <c r="X502" s="7" t="s">
        <v>152</v>
      </c>
      <c r="Y502" s="29" t="s">
        <v>129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1763</v>
      </c>
      <c r="C503" s="4" t="s">
        <v>1766</v>
      </c>
      <c r="D503" s="7" t="s">
        <v>71</v>
      </c>
      <c r="E503" s="7" t="s">
        <v>66</v>
      </c>
      <c r="F503" s="7" t="s">
        <v>72</v>
      </c>
      <c r="G503" s="7" t="e">
        <f t="shared" ca="1" si="13"/>
        <v>#NAME?</v>
      </c>
      <c r="H503" s="24" t="s">
        <v>145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1767</v>
      </c>
      <c r="S503" s="7" t="s">
        <v>127</v>
      </c>
      <c r="T503" s="7" t="s">
        <v>1765</v>
      </c>
      <c r="U503" s="7" t="s">
        <v>20</v>
      </c>
      <c r="V503" s="24" t="e">
        <f t="shared" ca="1" si="14"/>
        <v>#NAME?</v>
      </c>
      <c r="W503" s="7"/>
      <c r="X503" s="7" t="s">
        <v>152</v>
      </c>
      <c r="Y503" s="29" t="s">
        <v>129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1768</v>
      </c>
      <c r="C504" s="4" t="s">
        <v>1769</v>
      </c>
      <c r="D504" s="7" t="s">
        <v>71</v>
      </c>
      <c r="E504" s="7" t="s">
        <v>66</v>
      </c>
      <c r="F504" s="7" t="s">
        <v>72</v>
      </c>
      <c r="G504" s="7" t="e">
        <f t="shared" ca="1" si="13"/>
        <v>#NAME?</v>
      </c>
      <c r="H504" s="24" t="s">
        <v>145</v>
      </c>
      <c r="I504" s="24" t="s">
        <v>190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127</v>
      </c>
      <c r="T504" s="7" t="s">
        <v>1770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1768</v>
      </c>
      <c r="C505" s="4" t="s">
        <v>1771</v>
      </c>
      <c r="D505" s="7" t="s">
        <v>71</v>
      </c>
      <c r="E505" s="7" t="s">
        <v>66</v>
      </c>
      <c r="F505" s="7" t="s">
        <v>72</v>
      </c>
      <c r="G505" s="7" t="e">
        <f t="shared" ca="1" si="13"/>
        <v>#NAME?</v>
      </c>
      <c r="H505" s="24" t="s">
        <v>134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127</v>
      </c>
      <c r="T505" s="7" t="s">
        <v>1770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1772</v>
      </c>
      <c r="C506" s="35" t="s">
        <v>1773</v>
      </c>
      <c r="D506" s="7" t="s">
        <v>19</v>
      </c>
      <c r="E506" s="7" t="s">
        <v>20</v>
      </c>
      <c r="F506" s="7" t="s">
        <v>935</v>
      </c>
      <c r="G506" s="7" t="e">
        <f t="shared" ca="1" si="13"/>
        <v>#NAME?</v>
      </c>
      <c r="H506" s="24" t="s">
        <v>145</v>
      </c>
      <c r="I506" s="24" t="s">
        <v>146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127</v>
      </c>
      <c r="T506" s="6" t="s">
        <v>1774</v>
      </c>
      <c r="U506" s="7" t="s">
        <v>20</v>
      </c>
      <c r="V506" s="24" t="e">
        <f t="shared" ca="1" si="14"/>
        <v>#NAME?</v>
      </c>
      <c r="W506" s="7"/>
      <c r="X506" s="7"/>
      <c r="Y506" s="29" t="s">
        <v>129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1775</v>
      </c>
      <c r="C507" s="4" t="s">
        <v>1776</v>
      </c>
      <c r="D507" s="7" t="s">
        <v>19</v>
      </c>
      <c r="E507" s="7" t="s">
        <v>66</v>
      </c>
      <c r="F507" s="7" t="s">
        <v>67</v>
      </c>
      <c r="G507" s="7" t="e">
        <f t="shared" ca="1" si="13"/>
        <v>#NAME?</v>
      </c>
      <c r="H507" s="24" t="s">
        <v>145</v>
      </c>
      <c r="I507" s="24" t="s">
        <v>146</v>
      </c>
      <c r="J507" s="7" t="str">
        <f t="shared" si="23"/>
        <v>Não</v>
      </c>
      <c r="K507" s="25">
        <v>44951</v>
      </c>
      <c r="L507" s="7"/>
      <c r="M507" s="7" t="s">
        <v>242</v>
      </c>
      <c r="N507" s="26">
        <v>2.5000000000000001E-2</v>
      </c>
      <c r="O507" s="7" t="s">
        <v>167</v>
      </c>
      <c r="P507" s="27">
        <v>0.2</v>
      </c>
      <c r="Q507" s="28"/>
      <c r="R507" s="28" t="s">
        <v>1777</v>
      </c>
      <c r="S507" s="7" t="s">
        <v>127</v>
      </c>
      <c r="T507" s="7" t="s">
        <v>1778</v>
      </c>
      <c r="U507" s="7" t="s">
        <v>66</v>
      </c>
      <c r="V507" s="24" t="e">
        <f t="shared" ca="1" si="14"/>
        <v>#NAME?</v>
      </c>
      <c r="W507" s="7"/>
      <c r="X507" s="7"/>
      <c r="Y507" s="29" t="s">
        <v>129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1779</v>
      </c>
      <c r="C508" s="4" t="s">
        <v>1780</v>
      </c>
      <c r="D508" s="7" t="s">
        <v>19</v>
      </c>
      <c r="E508" s="7" t="s">
        <v>35</v>
      </c>
      <c r="F508" s="7" t="s">
        <v>199</v>
      </c>
      <c r="G508" s="7" t="e">
        <f t="shared" ca="1" si="13"/>
        <v>#NAME?</v>
      </c>
      <c r="H508" s="24" t="s">
        <v>145</v>
      </c>
      <c r="I508" s="24" t="s">
        <v>146</v>
      </c>
      <c r="J508" s="7" t="str">
        <f t="shared" si="23"/>
        <v>Não</v>
      </c>
      <c r="K508" s="25">
        <v>45113</v>
      </c>
      <c r="L508" s="25"/>
      <c r="M508" s="7" t="s">
        <v>242</v>
      </c>
      <c r="N508" s="26">
        <v>2.5000000000000001E-2</v>
      </c>
      <c r="O508" s="7" t="s">
        <v>167</v>
      </c>
      <c r="P508" s="27">
        <v>0.2</v>
      </c>
      <c r="Q508" s="28"/>
      <c r="R508" s="28" t="s">
        <v>1781</v>
      </c>
      <c r="S508" s="7" t="s">
        <v>127</v>
      </c>
      <c r="T508" s="7" t="s">
        <v>1782</v>
      </c>
      <c r="U508" s="7" t="s">
        <v>202</v>
      </c>
      <c r="V508" s="24" t="e">
        <f t="shared" ca="1" si="14"/>
        <v>#NAME?</v>
      </c>
      <c r="W508" s="7"/>
      <c r="X508" s="7"/>
      <c r="Y508" s="29" t="s">
        <v>129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1783</v>
      </c>
      <c r="C509" s="4" t="s">
        <v>1784</v>
      </c>
      <c r="D509" s="7" t="s">
        <v>19</v>
      </c>
      <c r="E509" s="7" t="s">
        <v>35</v>
      </c>
      <c r="F509" s="7" t="s">
        <v>199</v>
      </c>
      <c r="G509" s="7" t="e">
        <f t="shared" ca="1" si="13"/>
        <v>#NAME?</v>
      </c>
      <c r="H509" s="24" t="s">
        <v>134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127</v>
      </c>
      <c r="T509" s="7" t="s">
        <v>1782</v>
      </c>
      <c r="U509" s="7" t="s">
        <v>202</v>
      </c>
      <c r="V509" s="24" t="e">
        <f t="shared" ca="1" si="14"/>
        <v>#NAME?</v>
      </c>
      <c r="W509" s="7"/>
      <c r="X509" s="7"/>
      <c r="Y509" s="29" t="s">
        <v>129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1785</v>
      </c>
      <c r="C510" s="4" t="s">
        <v>1786</v>
      </c>
      <c r="D510" s="7" t="s">
        <v>19</v>
      </c>
      <c r="E510" s="7" t="s">
        <v>20</v>
      </c>
      <c r="F510" s="7" t="s">
        <v>360</v>
      </c>
      <c r="G510" s="7" t="e">
        <f t="shared" ca="1" si="13"/>
        <v>#NAME?</v>
      </c>
      <c r="H510" s="24" t="s">
        <v>134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1787</v>
      </c>
      <c r="S510" s="7" t="s">
        <v>127</v>
      </c>
      <c r="T510" s="7" t="s">
        <v>1788</v>
      </c>
      <c r="U510" s="7" t="s">
        <v>20</v>
      </c>
      <c r="V510" s="24" t="e">
        <f t="shared" ca="1" si="14"/>
        <v>#NAME?</v>
      </c>
      <c r="W510" s="7"/>
      <c r="X510" s="7"/>
      <c r="Y510" s="7" t="s">
        <v>129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1785</v>
      </c>
      <c r="C511" s="4" t="s">
        <v>1789</v>
      </c>
      <c r="D511" s="7" t="s">
        <v>19</v>
      </c>
      <c r="E511" s="7" t="s">
        <v>20</v>
      </c>
      <c r="F511" s="7" t="s">
        <v>360</v>
      </c>
      <c r="G511" s="7" t="e">
        <f t="shared" ca="1" si="13"/>
        <v>#NAME?</v>
      </c>
      <c r="H511" s="24" t="s">
        <v>134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185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1787</v>
      </c>
      <c r="S511" s="7" t="s">
        <v>127</v>
      </c>
      <c r="T511" s="7" t="s">
        <v>1788</v>
      </c>
      <c r="U511" s="7" t="s">
        <v>20</v>
      </c>
      <c r="V511" s="24" t="e">
        <f t="shared" ca="1" si="14"/>
        <v>#NAME?</v>
      </c>
      <c r="W511" s="7"/>
      <c r="X511" s="7"/>
      <c r="Y511" s="7" t="s">
        <v>129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1790</v>
      </c>
      <c r="C512" s="4" t="s">
        <v>1791</v>
      </c>
      <c r="D512" s="7" t="s">
        <v>19</v>
      </c>
      <c r="E512" s="7" t="s">
        <v>20</v>
      </c>
      <c r="F512" s="7" t="s">
        <v>360</v>
      </c>
      <c r="G512" s="7" t="e">
        <f t="shared" ca="1" si="13"/>
        <v>#NAME?</v>
      </c>
      <c r="H512" s="24" t="s">
        <v>134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156</v>
      </c>
      <c r="N512" s="26">
        <v>0</v>
      </c>
      <c r="O512" s="7" t="s">
        <v>25</v>
      </c>
      <c r="P512" s="27">
        <v>0</v>
      </c>
      <c r="Q512" s="28"/>
      <c r="R512" s="28" t="s">
        <v>1792</v>
      </c>
      <c r="S512" s="7" t="s">
        <v>127</v>
      </c>
      <c r="T512" s="7" t="s">
        <v>1793</v>
      </c>
      <c r="U512" s="7" t="s">
        <v>20</v>
      </c>
      <c r="V512" s="24" t="e">
        <f t="shared" ca="1" si="14"/>
        <v>#NAME?</v>
      </c>
      <c r="W512" s="7"/>
      <c r="X512" s="7"/>
      <c r="Y512" s="29" t="s">
        <v>129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1794</v>
      </c>
      <c r="C513" s="4" t="s">
        <v>1795</v>
      </c>
      <c r="D513" s="7" t="s">
        <v>46</v>
      </c>
      <c r="E513" s="7" t="s">
        <v>20</v>
      </c>
      <c r="F513" s="7" t="s">
        <v>477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145</v>
      </c>
      <c r="I513" s="24" t="s">
        <v>229</v>
      </c>
      <c r="J513" s="7" t="s">
        <v>165</v>
      </c>
      <c r="K513" s="25">
        <v>45348</v>
      </c>
      <c r="L513" s="7"/>
      <c r="M513" s="7" t="s">
        <v>338</v>
      </c>
      <c r="N513" s="26">
        <v>5.0000000000000001E-3</v>
      </c>
      <c r="O513" s="7" t="s">
        <v>25</v>
      </c>
      <c r="P513" s="27">
        <v>0</v>
      </c>
      <c r="Q513" s="23"/>
      <c r="R513" s="28" t="s">
        <v>692</v>
      </c>
      <c r="S513" s="7" t="s">
        <v>127</v>
      </c>
      <c r="T513" s="7" t="s">
        <v>1796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1797</v>
      </c>
      <c r="C514" s="4" t="s">
        <v>1798</v>
      </c>
      <c r="D514" s="7" t="s">
        <v>19</v>
      </c>
      <c r="E514" s="7" t="s">
        <v>20</v>
      </c>
      <c r="F514" s="7" t="s">
        <v>360</v>
      </c>
      <c r="G514" s="7" t="e">
        <f t="shared" ca="1" si="24"/>
        <v>#NAME?</v>
      </c>
      <c r="H514" s="24" t="s">
        <v>134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185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127</v>
      </c>
      <c r="T514" s="7" t="s">
        <v>1799</v>
      </c>
      <c r="U514" s="7" t="s">
        <v>20</v>
      </c>
      <c r="V514" s="24" t="e">
        <f t="shared" ca="1" si="25"/>
        <v>#NAME?</v>
      </c>
      <c r="W514" s="7"/>
      <c r="X514" s="7"/>
      <c r="Y514" s="29" t="s">
        <v>129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1800</v>
      </c>
      <c r="C515" s="4" t="s">
        <v>1801</v>
      </c>
      <c r="D515" s="7" t="s">
        <v>19</v>
      </c>
      <c r="E515" s="7" t="s">
        <v>20</v>
      </c>
      <c r="F515" s="7" t="s">
        <v>195</v>
      </c>
      <c r="G515" s="7" t="e">
        <f t="shared" ca="1" si="24"/>
        <v>#NAME?</v>
      </c>
      <c r="H515" s="24" t="s">
        <v>134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185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127</v>
      </c>
      <c r="T515" s="7" t="s">
        <v>1802</v>
      </c>
      <c r="U515" s="7" t="s">
        <v>20</v>
      </c>
      <c r="V515" s="24" t="e">
        <f t="shared" ca="1" si="25"/>
        <v>#NAME?</v>
      </c>
      <c r="W515" s="7"/>
      <c r="X515" s="7"/>
      <c r="Y515" s="29" t="s">
        <v>129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1803</v>
      </c>
      <c r="C516" s="4" t="s">
        <v>1804</v>
      </c>
      <c r="D516" s="7" t="s">
        <v>19</v>
      </c>
      <c r="E516" s="7" t="s">
        <v>66</v>
      </c>
      <c r="F516" s="7" t="s">
        <v>144</v>
      </c>
      <c r="G516" s="7" t="e">
        <f t="shared" ca="1" si="24"/>
        <v>#NAME?</v>
      </c>
      <c r="H516" s="24" t="s">
        <v>134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1805</v>
      </c>
      <c r="R516" s="28"/>
      <c r="S516" s="7" t="s">
        <v>127</v>
      </c>
      <c r="T516" s="7" t="s">
        <v>1806</v>
      </c>
      <c r="U516" s="7" t="s">
        <v>66</v>
      </c>
      <c r="V516" s="24" t="e">
        <f t="shared" ca="1" si="25"/>
        <v>#NAME?</v>
      </c>
      <c r="W516" s="7"/>
      <c r="X516" s="7"/>
      <c r="Y516" s="29" t="s">
        <v>129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1803</v>
      </c>
      <c r="C517" s="4" t="s">
        <v>1807</v>
      </c>
      <c r="D517" s="7" t="s">
        <v>19</v>
      </c>
      <c r="E517" s="7" t="s">
        <v>66</v>
      </c>
      <c r="F517" s="7" t="s">
        <v>144</v>
      </c>
      <c r="G517" s="7" t="e">
        <f t="shared" ca="1" si="24"/>
        <v>#NAME?</v>
      </c>
      <c r="H517" s="24" t="s">
        <v>150</v>
      </c>
      <c r="I517" s="24" t="s">
        <v>208</v>
      </c>
      <c r="J517" s="7" t="str">
        <f t="shared" si="26"/>
        <v>Não</v>
      </c>
      <c r="K517" s="25">
        <v>45545</v>
      </c>
      <c r="L517" s="7"/>
      <c r="M517" s="7" t="s">
        <v>245</v>
      </c>
      <c r="N517" s="26">
        <v>8.0000000000000002E-3</v>
      </c>
      <c r="O517" s="7" t="s">
        <v>246</v>
      </c>
      <c r="P517" s="27">
        <v>0.1</v>
      </c>
      <c r="Q517" s="28"/>
      <c r="R517" s="28"/>
      <c r="S517" s="7" t="s">
        <v>127</v>
      </c>
      <c r="T517" s="7" t="s">
        <v>1806</v>
      </c>
      <c r="U517" s="7" t="s">
        <v>1808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1809</v>
      </c>
      <c r="C518" s="4" t="s">
        <v>1810</v>
      </c>
      <c r="D518" s="7" t="s">
        <v>19</v>
      </c>
      <c r="E518" s="7" t="s">
        <v>66</v>
      </c>
      <c r="F518" s="7" t="s">
        <v>144</v>
      </c>
      <c r="G518" s="7" t="e">
        <f t="shared" ca="1" si="24"/>
        <v>#NAME?</v>
      </c>
      <c r="H518" s="24" t="s">
        <v>134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1811</v>
      </c>
      <c r="R518" s="28"/>
      <c r="S518" s="7" t="s">
        <v>127</v>
      </c>
      <c r="T518" s="7" t="s">
        <v>1812</v>
      </c>
      <c r="U518" s="7" t="s">
        <v>66</v>
      </c>
      <c r="V518" s="24" t="e">
        <f t="shared" ca="1" si="25"/>
        <v>#NAME?</v>
      </c>
      <c r="W518" s="7"/>
      <c r="X518" s="7" t="s">
        <v>137</v>
      </c>
      <c r="Y518" s="29" t="s">
        <v>129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1813</v>
      </c>
      <c r="C519" s="4" t="s">
        <v>1814</v>
      </c>
      <c r="D519" s="7" t="s">
        <v>46</v>
      </c>
      <c r="E519" s="7" t="s">
        <v>20</v>
      </c>
      <c r="F519" s="7" t="s">
        <v>914</v>
      </c>
      <c r="G519" s="7" t="e">
        <f t="shared" ca="1" si="24"/>
        <v>#NAME?</v>
      </c>
      <c r="H519" s="24" t="s">
        <v>125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185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127</v>
      </c>
      <c r="T519" s="7" t="s">
        <v>1815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1816</v>
      </c>
      <c r="C520" s="4" t="s">
        <v>1817</v>
      </c>
      <c r="D520" s="7" t="s">
        <v>46</v>
      </c>
      <c r="E520" s="7" t="s">
        <v>20</v>
      </c>
      <c r="F520" s="7" t="s">
        <v>124</v>
      </c>
      <c r="G520" s="7" t="e">
        <f t="shared" ca="1" si="24"/>
        <v>#NAME?</v>
      </c>
      <c r="H520" s="24" t="s">
        <v>134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185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127</v>
      </c>
      <c r="T520" s="7" t="s">
        <v>1818</v>
      </c>
      <c r="U520" s="7" t="s">
        <v>20</v>
      </c>
      <c r="V520" s="24" t="e">
        <f t="shared" ca="1" si="25"/>
        <v>#NAME?</v>
      </c>
      <c r="W520" s="7"/>
      <c r="X520" s="7"/>
      <c r="Y520" s="29" t="s">
        <v>129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1819</v>
      </c>
      <c r="C521" s="4" t="s">
        <v>1820</v>
      </c>
      <c r="D521" s="7" t="s">
        <v>46</v>
      </c>
      <c r="E521" s="7" t="s">
        <v>20</v>
      </c>
      <c r="F521" s="7" t="s">
        <v>124</v>
      </c>
      <c r="G521" s="7" t="e">
        <f t="shared" ca="1" si="24"/>
        <v>#NAME?</v>
      </c>
      <c r="H521" s="24" t="s">
        <v>125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185</v>
      </c>
      <c r="N521" s="26">
        <v>8.9999999999999993E-3</v>
      </c>
      <c r="O521" s="7" t="s">
        <v>39</v>
      </c>
      <c r="P521" s="27">
        <v>0.2</v>
      </c>
      <c r="Q521" s="28"/>
      <c r="R521" s="28" t="s">
        <v>692</v>
      </c>
      <c r="S521" s="7" t="s">
        <v>127</v>
      </c>
      <c r="T521" s="7" t="s">
        <v>1821</v>
      </c>
      <c r="U521" s="7" t="s">
        <v>20</v>
      </c>
      <c r="V521" s="24" t="e">
        <f t="shared" ca="1" si="25"/>
        <v>#NAME?</v>
      </c>
      <c r="W521" s="7"/>
      <c r="X521" s="7"/>
      <c r="Y521" s="29" t="s">
        <v>240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1822</v>
      </c>
      <c r="C522" s="44" t="s">
        <v>1823</v>
      </c>
      <c r="D522" s="7" t="s">
        <v>46</v>
      </c>
      <c r="E522" s="7" t="s">
        <v>20</v>
      </c>
      <c r="F522" s="7" t="s">
        <v>419</v>
      </c>
      <c r="G522" s="7" t="e">
        <f t="shared" ca="1" si="24"/>
        <v>#NAME?</v>
      </c>
      <c r="H522" s="24" t="s">
        <v>134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127</v>
      </c>
      <c r="T522" s="12" t="s">
        <v>1824</v>
      </c>
      <c r="U522" s="7" t="s">
        <v>20</v>
      </c>
      <c r="V522" s="24" t="e">
        <f t="shared" ca="1" si="25"/>
        <v>#NAME?</v>
      </c>
      <c r="W522" s="7"/>
      <c r="X522" s="7"/>
      <c r="Y522" s="29" t="s">
        <v>129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1825</v>
      </c>
      <c r="C523" s="4" t="s">
        <v>1826</v>
      </c>
      <c r="D523" s="7" t="s">
        <v>19</v>
      </c>
      <c r="E523" s="7" t="s">
        <v>20</v>
      </c>
      <c r="F523" s="7" t="s">
        <v>360</v>
      </c>
      <c r="G523" s="7" t="e">
        <f t="shared" ca="1" si="24"/>
        <v>#NAME?</v>
      </c>
      <c r="H523" s="24" t="s">
        <v>134</v>
      </c>
      <c r="I523" s="24" t="s">
        <v>25</v>
      </c>
      <c r="J523" s="7" t="str">
        <f t="shared" si="26"/>
        <v>Não</v>
      </c>
      <c r="K523" s="25">
        <v>45043</v>
      </c>
      <c r="L523" s="7"/>
      <c r="M523" s="7" t="s">
        <v>876</v>
      </c>
      <c r="N523" s="26">
        <v>7.0000000000000001E-3</v>
      </c>
      <c r="O523" s="7" t="s">
        <v>25</v>
      </c>
      <c r="P523" s="27">
        <v>0</v>
      </c>
      <c r="Q523" s="28"/>
      <c r="R523" s="28" t="s">
        <v>1827</v>
      </c>
      <c r="S523" s="7" t="s">
        <v>127</v>
      </c>
      <c r="T523" s="7" t="s">
        <v>1828</v>
      </c>
      <c r="U523" s="7" t="s">
        <v>20</v>
      </c>
      <c r="V523" s="24" t="e">
        <f t="shared" ca="1" si="25"/>
        <v>#NAME?</v>
      </c>
      <c r="W523" s="7"/>
      <c r="X523" s="7"/>
      <c r="Y523" s="29" t="s">
        <v>129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1829</v>
      </c>
      <c r="C524" s="4" t="s">
        <v>1830</v>
      </c>
      <c r="D524" s="7" t="s">
        <v>19</v>
      </c>
      <c r="E524" s="7" t="s">
        <v>41</v>
      </c>
      <c r="F524" s="7" t="s">
        <v>651</v>
      </c>
      <c r="G524" s="7" t="e">
        <f t="shared" ca="1" si="24"/>
        <v>#NAME?</v>
      </c>
      <c r="H524" s="24" t="s">
        <v>125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185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127</v>
      </c>
      <c r="T524" s="7" t="s">
        <v>1831</v>
      </c>
      <c r="U524" s="7" t="s">
        <v>41</v>
      </c>
      <c r="V524" s="24" t="e">
        <f t="shared" ca="1" si="25"/>
        <v>#NAME?</v>
      </c>
      <c r="W524" s="7"/>
      <c r="X524" s="7"/>
      <c r="Y524" s="29" t="s">
        <v>129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1832</v>
      </c>
      <c r="C525" s="64" t="s">
        <v>1833</v>
      </c>
      <c r="D525" s="7" t="s">
        <v>19</v>
      </c>
      <c r="E525" s="7" t="s">
        <v>66</v>
      </c>
      <c r="F525" s="7" t="s">
        <v>144</v>
      </c>
      <c r="G525" s="7" t="e">
        <f t="shared" ca="1" si="24"/>
        <v>#NAME?</v>
      </c>
      <c r="H525" s="24" t="s">
        <v>134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127</v>
      </c>
      <c r="T525" s="7" t="s">
        <v>1834</v>
      </c>
      <c r="U525" s="7" t="s">
        <v>66</v>
      </c>
      <c r="V525" s="24" t="e">
        <f t="shared" ca="1" si="25"/>
        <v>#NAME?</v>
      </c>
      <c r="W525" s="7"/>
      <c r="X525" s="7"/>
      <c r="Y525" s="29" t="s">
        <v>129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1835</v>
      </c>
      <c r="C526" s="4" t="s">
        <v>1836</v>
      </c>
      <c r="D526" s="7" t="s">
        <v>19</v>
      </c>
      <c r="E526" s="7" t="s">
        <v>66</v>
      </c>
      <c r="F526" s="7" t="s">
        <v>144</v>
      </c>
      <c r="G526" s="7" t="e">
        <f t="shared" ca="1" si="24"/>
        <v>#NAME?</v>
      </c>
      <c r="H526" s="24" t="s">
        <v>134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127</v>
      </c>
      <c r="T526" s="7" t="s">
        <v>1837</v>
      </c>
      <c r="U526" s="7" t="s">
        <v>66</v>
      </c>
      <c r="V526" s="24" t="e">
        <f t="shared" ca="1" si="25"/>
        <v>#NAME?</v>
      </c>
      <c r="W526" s="7"/>
      <c r="X526" s="7"/>
      <c r="Y526" s="29" t="s">
        <v>129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1838</v>
      </c>
      <c r="C527" s="4" t="s">
        <v>1839</v>
      </c>
      <c r="D527" s="7" t="s">
        <v>46</v>
      </c>
      <c r="E527" s="7" t="s">
        <v>20</v>
      </c>
      <c r="F527" s="7" t="s">
        <v>1840</v>
      </c>
      <c r="G527" s="7" t="e">
        <f t="shared" ca="1" si="24"/>
        <v>#NAME?</v>
      </c>
      <c r="H527" s="24" t="s">
        <v>125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200</v>
      </c>
      <c r="N527" s="26">
        <v>1.2E-2</v>
      </c>
      <c r="O527" s="7" t="s">
        <v>25</v>
      </c>
      <c r="P527" s="27">
        <v>0</v>
      </c>
      <c r="Q527" s="28" t="s">
        <v>1841</v>
      </c>
      <c r="R527" s="28"/>
      <c r="S527" s="7" t="s">
        <v>127</v>
      </c>
      <c r="T527" s="7" t="s">
        <v>1842</v>
      </c>
      <c r="U527" s="7" t="s">
        <v>20</v>
      </c>
      <c r="V527" s="24" t="e">
        <f t="shared" ca="1" si="25"/>
        <v>#NAME?</v>
      </c>
      <c r="W527" s="7"/>
      <c r="X527" s="7"/>
      <c r="Y527" s="29" t="s">
        <v>421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1843</v>
      </c>
      <c r="C528" s="4" t="s">
        <v>1844</v>
      </c>
      <c r="D528" s="7" t="s">
        <v>55</v>
      </c>
      <c r="E528" s="7" t="s">
        <v>20</v>
      </c>
      <c r="F528" s="7" t="s">
        <v>325</v>
      </c>
      <c r="G528" s="7" t="e">
        <f t="shared" ca="1" si="24"/>
        <v>#NAME?</v>
      </c>
      <c r="H528" s="24" t="s">
        <v>134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127</v>
      </c>
      <c r="T528" s="7" t="s">
        <v>1845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129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1846</v>
      </c>
      <c r="C529" s="35" t="s">
        <v>1847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134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1848</v>
      </c>
      <c r="S529" s="7" t="s">
        <v>127</v>
      </c>
      <c r="T529" s="6" t="s">
        <v>1849</v>
      </c>
      <c r="U529" s="7" t="s">
        <v>20</v>
      </c>
      <c r="V529" s="24" t="e">
        <f t="shared" ca="1" si="25"/>
        <v>#NAME?</v>
      </c>
      <c r="W529" s="7"/>
      <c r="X529" s="7"/>
      <c r="Y529" s="29" t="s">
        <v>129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1850</v>
      </c>
      <c r="C530" s="4" t="s">
        <v>1851</v>
      </c>
      <c r="D530" s="7" t="s">
        <v>19</v>
      </c>
      <c r="E530" s="7" t="s">
        <v>66</v>
      </c>
      <c r="F530" s="7" t="s">
        <v>144</v>
      </c>
      <c r="G530" s="7" t="e">
        <f t="shared" ca="1" si="24"/>
        <v>#NAME?</v>
      </c>
      <c r="H530" s="24" t="s">
        <v>134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127</v>
      </c>
      <c r="T530" s="7" t="s">
        <v>1852</v>
      </c>
      <c r="U530" s="7" t="s">
        <v>20</v>
      </c>
      <c r="V530" s="24" t="e">
        <f t="shared" ca="1" si="25"/>
        <v>#NAME?</v>
      </c>
      <c r="W530" s="7"/>
      <c r="X530" s="7"/>
      <c r="Y530" s="29" t="s">
        <v>129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1853</v>
      </c>
      <c r="C531" s="4" t="s">
        <v>1854</v>
      </c>
      <c r="D531" s="7" t="s">
        <v>19</v>
      </c>
      <c r="E531" s="7" t="s">
        <v>35</v>
      </c>
      <c r="F531" s="7" t="s">
        <v>250</v>
      </c>
      <c r="G531" s="7" t="e">
        <f t="shared" ca="1" si="24"/>
        <v>#NAME?</v>
      </c>
      <c r="H531" s="24" t="s">
        <v>134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867</v>
      </c>
      <c r="N531" s="26">
        <v>0.02</v>
      </c>
      <c r="O531" s="7" t="s">
        <v>167</v>
      </c>
      <c r="P531" s="27">
        <v>0.2</v>
      </c>
      <c r="Q531" s="28" t="s">
        <v>1855</v>
      </c>
      <c r="R531" s="28"/>
      <c r="S531" s="7" t="s">
        <v>127</v>
      </c>
      <c r="T531" s="7" t="s">
        <v>1856</v>
      </c>
      <c r="U531" s="7" t="s">
        <v>202</v>
      </c>
      <c r="V531" s="24" t="e">
        <f t="shared" ca="1" si="25"/>
        <v>#NAME?</v>
      </c>
      <c r="W531" s="7"/>
      <c r="X531" s="7"/>
      <c r="Y531" s="29" t="s">
        <v>129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1857</v>
      </c>
      <c r="C532" s="159" t="s">
        <v>1858</v>
      </c>
      <c r="D532" s="7" t="s">
        <v>19</v>
      </c>
      <c r="E532" s="7" t="s">
        <v>35</v>
      </c>
      <c r="F532" s="7" t="s">
        <v>250</v>
      </c>
      <c r="G532" s="7" t="e">
        <f t="shared" ca="1" si="24"/>
        <v>#NAME?</v>
      </c>
      <c r="H532" s="24" t="s">
        <v>145</v>
      </c>
      <c r="I532" s="24" t="s">
        <v>146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127</v>
      </c>
      <c r="T532" s="7" t="s">
        <v>1859</v>
      </c>
      <c r="U532" s="7" t="s">
        <v>202</v>
      </c>
      <c r="V532" s="24" t="e">
        <f t="shared" ca="1" si="25"/>
        <v>#NAME?</v>
      </c>
      <c r="W532" s="7"/>
      <c r="X532" s="7"/>
      <c r="Y532" s="29" t="s">
        <v>129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1861</v>
      </c>
      <c r="D533" s="7" t="s">
        <v>19</v>
      </c>
      <c r="E533" s="7" t="s">
        <v>20</v>
      </c>
      <c r="F533" s="7" t="s">
        <v>360</v>
      </c>
      <c r="G533" s="7" t="e">
        <f t="shared" ca="1" si="24"/>
        <v>#NAME?</v>
      </c>
      <c r="H533" s="24" t="s">
        <v>145</v>
      </c>
      <c r="I533" s="24" t="s">
        <v>146</v>
      </c>
      <c r="J533" s="7" t="str">
        <f t="shared" si="26"/>
        <v>Não</v>
      </c>
      <c r="K533" s="25">
        <v>44911</v>
      </c>
      <c r="L533" s="7"/>
      <c r="M533" s="7" t="s">
        <v>242</v>
      </c>
      <c r="N533" s="26">
        <v>2.5000000000000001E-2</v>
      </c>
      <c r="O533" s="7" t="s">
        <v>167</v>
      </c>
      <c r="P533" s="27">
        <v>0.2</v>
      </c>
      <c r="Q533" s="23"/>
      <c r="R533" s="28" t="s">
        <v>1862</v>
      </c>
      <c r="S533" s="7" t="s">
        <v>127</v>
      </c>
      <c r="T533" s="7" t="s">
        <v>1863</v>
      </c>
      <c r="U533" s="7" t="s">
        <v>20</v>
      </c>
      <c r="V533" s="24" t="e">
        <f t="shared" ca="1" si="25"/>
        <v>#NAME?</v>
      </c>
      <c r="W533" s="7"/>
      <c r="X533" s="7"/>
      <c r="Y533" s="29" t="s">
        <v>240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1860</v>
      </c>
      <c r="C534" s="4" t="s">
        <v>1864</v>
      </c>
      <c r="D534" s="7" t="s">
        <v>19</v>
      </c>
      <c r="E534" s="7" t="s">
        <v>20</v>
      </c>
      <c r="F534" s="7" t="s">
        <v>360</v>
      </c>
      <c r="G534" s="7" t="e">
        <f t="shared" ca="1" si="24"/>
        <v>#NAME?</v>
      </c>
      <c r="H534" s="24" t="s">
        <v>134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185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127</v>
      </c>
      <c r="T534" s="7" t="s">
        <v>1863</v>
      </c>
      <c r="U534" s="7" t="s">
        <v>20</v>
      </c>
      <c r="V534" s="24" t="e">
        <f t="shared" ca="1" si="25"/>
        <v>#NAME?</v>
      </c>
      <c r="W534" s="7"/>
      <c r="X534" s="7"/>
      <c r="Y534" s="29" t="s">
        <v>240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1865</v>
      </c>
      <c r="C535" s="160" t="s">
        <v>1866</v>
      </c>
      <c r="D535" s="7" t="s">
        <v>19</v>
      </c>
      <c r="E535" s="7" t="s">
        <v>20</v>
      </c>
      <c r="F535" s="7" t="s">
        <v>791</v>
      </c>
      <c r="G535" s="7" t="e">
        <f t="shared" ca="1" si="24"/>
        <v>#NAME?</v>
      </c>
      <c r="H535" s="24" t="s">
        <v>125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242</v>
      </c>
      <c r="N535" s="26">
        <v>1.4999999999999999E-2</v>
      </c>
      <c r="O535" s="7" t="s">
        <v>25</v>
      </c>
      <c r="P535" s="27">
        <v>0</v>
      </c>
      <c r="Q535" s="28"/>
      <c r="R535" s="28" t="s">
        <v>1867</v>
      </c>
      <c r="S535" s="7" t="s">
        <v>127</v>
      </c>
      <c r="T535" s="7" t="s">
        <v>1868</v>
      </c>
      <c r="U535" s="7" t="s">
        <v>20</v>
      </c>
      <c r="V535" s="24" t="e">
        <f t="shared" ca="1" si="25"/>
        <v>#NAME?</v>
      </c>
      <c r="W535" s="7"/>
      <c r="X535" s="7"/>
      <c r="Y535" s="29" t="s">
        <v>240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1865</v>
      </c>
      <c r="C536" s="160" t="s">
        <v>1869</v>
      </c>
      <c r="D536" s="7" t="s">
        <v>19</v>
      </c>
      <c r="E536" s="7" t="s">
        <v>20</v>
      </c>
      <c r="F536" s="7" t="s">
        <v>791</v>
      </c>
      <c r="G536" s="7" t="e">
        <f t="shared" ca="1" si="24"/>
        <v>#NAME?</v>
      </c>
      <c r="H536" s="24" t="s">
        <v>125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1867</v>
      </c>
      <c r="S536" s="7" t="s">
        <v>127</v>
      </c>
      <c r="T536" s="7" t="s">
        <v>1868</v>
      </c>
      <c r="U536" s="7" t="s">
        <v>20</v>
      </c>
      <c r="V536" s="24" t="e">
        <f t="shared" ca="1" si="25"/>
        <v>#NAME?</v>
      </c>
      <c r="W536" s="7"/>
      <c r="X536" s="7"/>
      <c r="Y536" s="29" t="s">
        <v>240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1870</v>
      </c>
      <c r="C537" s="4" t="s">
        <v>1871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134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242</v>
      </c>
      <c r="N537" s="26">
        <v>2.5000000000000001E-2</v>
      </c>
      <c r="O537" s="7" t="s">
        <v>167</v>
      </c>
      <c r="P537" s="27">
        <v>0.2</v>
      </c>
      <c r="Q537" s="90"/>
      <c r="R537" s="90"/>
      <c r="S537" s="7" t="s">
        <v>127</v>
      </c>
      <c r="T537" s="7" t="s">
        <v>1872</v>
      </c>
      <c r="U537" s="7" t="s">
        <v>20</v>
      </c>
      <c r="V537" s="24" t="e">
        <f t="shared" ca="1" si="25"/>
        <v>#NAME?</v>
      </c>
      <c r="W537" s="7"/>
      <c r="X537" s="7"/>
      <c r="Y537" s="29" t="s">
        <v>129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1870</v>
      </c>
      <c r="C538" s="4" t="s">
        <v>1873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134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127</v>
      </c>
      <c r="T538" s="7" t="s">
        <v>1872</v>
      </c>
      <c r="U538" s="7" t="s">
        <v>20</v>
      </c>
      <c r="V538" s="24" t="e">
        <f t="shared" ca="1" si="25"/>
        <v>#NAME?</v>
      </c>
      <c r="W538" s="7"/>
      <c r="X538" s="7"/>
      <c r="Y538" s="29" t="s">
        <v>129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1874</v>
      </c>
      <c r="C539" s="159" t="s">
        <v>1875</v>
      </c>
      <c r="D539" s="7" t="s">
        <v>71</v>
      </c>
      <c r="E539" s="7" t="s">
        <v>66</v>
      </c>
      <c r="F539" s="7" t="s">
        <v>72</v>
      </c>
      <c r="G539" s="7" t="e">
        <f t="shared" ca="1" si="24"/>
        <v>#NAME?</v>
      </c>
      <c r="H539" s="24" t="s">
        <v>134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127</v>
      </c>
      <c r="T539" s="7" t="s">
        <v>1876</v>
      </c>
      <c r="U539" s="7" t="s">
        <v>66</v>
      </c>
      <c r="V539" s="24" t="e">
        <f t="shared" ca="1" si="25"/>
        <v>#NAME?</v>
      </c>
      <c r="W539" s="7"/>
      <c r="X539" s="7" t="s">
        <v>42</v>
      </c>
      <c r="Y539" s="29" t="s">
        <v>129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1877</v>
      </c>
      <c r="C540" s="4" t="s">
        <v>1878</v>
      </c>
      <c r="D540" s="7" t="s">
        <v>46</v>
      </c>
      <c r="E540" s="7" t="s">
        <v>20</v>
      </c>
      <c r="F540" s="7" t="s">
        <v>124</v>
      </c>
      <c r="G540" s="7" t="e">
        <f t="shared" ca="1" si="24"/>
        <v>#NAME?</v>
      </c>
      <c r="H540" s="24" t="s">
        <v>125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1534</v>
      </c>
      <c r="N540" s="26">
        <v>1.2E-2</v>
      </c>
      <c r="O540" s="7" t="s">
        <v>39</v>
      </c>
      <c r="P540" s="27">
        <v>0.1</v>
      </c>
      <c r="Q540" s="28"/>
      <c r="R540" s="28" t="s">
        <v>339</v>
      </c>
      <c r="S540" s="7" t="s">
        <v>127</v>
      </c>
      <c r="T540" s="7" t="s">
        <v>1879</v>
      </c>
      <c r="U540" s="7" t="s">
        <v>878</v>
      </c>
      <c r="V540" s="24" t="e">
        <f t="shared" ca="1" si="25"/>
        <v>#NAME?</v>
      </c>
      <c r="W540" s="7"/>
      <c r="X540" s="7"/>
      <c r="Y540" s="29" t="s">
        <v>240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1880</v>
      </c>
      <c r="C541" s="4" t="s">
        <v>1881</v>
      </c>
      <c r="D541" s="7" t="s">
        <v>19</v>
      </c>
      <c r="E541" s="7" t="s">
        <v>35</v>
      </c>
      <c r="F541" s="7" t="s">
        <v>250</v>
      </c>
      <c r="G541" s="7" t="e">
        <f t="shared" ca="1" si="24"/>
        <v>#NAME?</v>
      </c>
      <c r="H541" s="24" t="s">
        <v>145</v>
      </c>
      <c r="I541" s="24" t="s">
        <v>146</v>
      </c>
      <c r="J541" s="7" t="str">
        <f t="shared" si="26"/>
        <v>Não</v>
      </c>
      <c r="K541" s="25">
        <v>45163</v>
      </c>
      <c r="L541" s="25"/>
      <c r="M541" s="7" t="s">
        <v>185</v>
      </c>
      <c r="N541" s="26">
        <v>1.4999999999999999E-2</v>
      </c>
      <c r="O541" s="7" t="s">
        <v>39</v>
      </c>
      <c r="P541" s="27">
        <v>0.1</v>
      </c>
      <c r="Q541" s="90"/>
      <c r="R541" s="28" t="s">
        <v>1882</v>
      </c>
      <c r="S541" s="7" t="s">
        <v>127</v>
      </c>
      <c r="T541" s="7" t="s">
        <v>1883</v>
      </c>
      <c r="U541" s="7" t="s">
        <v>202</v>
      </c>
      <c r="V541" s="24" t="e">
        <f t="shared" ca="1" si="25"/>
        <v>#NAME?</v>
      </c>
      <c r="W541" s="7"/>
      <c r="X541" s="7"/>
      <c r="Y541" s="29" t="s">
        <v>129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1884</v>
      </c>
      <c r="C542" s="4" t="s">
        <v>1885</v>
      </c>
      <c r="D542" s="7" t="s">
        <v>19</v>
      </c>
      <c r="E542" s="7" t="s">
        <v>66</v>
      </c>
      <c r="F542" s="7" t="s">
        <v>265</v>
      </c>
      <c r="G542" s="7" t="e">
        <f t="shared" ca="1" si="24"/>
        <v>#NAME?</v>
      </c>
      <c r="H542" s="24" t="s">
        <v>134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127</v>
      </c>
      <c r="T542" s="7" t="s">
        <v>1886</v>
      </c>
      <c r="U542" s="7" t="s">
        <v>66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1887</v>
      </c>
      <c r="C543" s="4" t="s">
        <v>1888</v>
      </c>
      <c r="D543" s="7" t="s">
        <v>19</v>
      </c>
      <c r="E543" s="7" t="s">
        <v>66</v>
      </c>
      <c r="F543" s="7" t="s">
        <v>316</v>
      </c>
      <c r="G543" s="7" t="e">
        <f t="shared" ca="1" si="24"/>
        <v>#NAME?</v>
      </c>
      <c r="H543" s="24" t="s">
        <v>145</v>
      </c>
      <c r="I543" s="24" t="s">
        <v>146</v>
      </c>
      <c r="J543" s="7" t="str">
        <f t="shared" si="26"/>
        <v>Não</v>
      </c>
      <c r="K543" s="25">
        <v>45163</v>
      </c>
      <c r="L543" s="25"/>
      <c r="M543" s="7" t="s">
        <v>333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127</v>
      </c>
      <c r="T543" s="7" t="s">
        <v>1889</v>
      </c>
      <c r="U543" s="7" t="s">
        <v>48</v>
      </c>
      <c r="V543" s="24" t="e">
        <f t="shared" ca="1" si="25"/>
        <v>#NAME?</v>
      </c>
      <c r="W543" s="7"/>
      <c r="X543" s="7"/>
      <c r="Y543" s="29" t="s">
        <v>129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1890</v>
      </c>
      <c r="C544" s="4" t="s">
        <v>1891</v>
      </c>
      <c r="D544" s="7" t="s">
        <v>46</v>
      </c>
      <c r="E544" s="7" t="s">
        <v>20</v>
      </c>
      <c r="F544" s="7" t="s">
        <v>124</v>
      </c>
      <c r="G544" s="7" t="e">
        <f t="shared" ca="1" si="24"/>
        <v>#NAME?</v>
      </c>
      <c r="H544" s="24" t="s">
        <v>125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127</v>
      </c>
      <c r="T544" s="7" t="s">
        <v>1892</v>
      </c>
      <c r="U544" s="7" t="s">
        <v>20</v>
      </c>
      <c r="V544" s="24" t="e">
        <f t="shared" ca="1" si="25"/>
        <v>#NAME?</v>
      </c>
      <c r="W544" s="7"/>
      <c r="X544" s="7"/>
      <c r="Y544" s="29" t="s">
        <v>240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1893</v>
      </c>
      <c r="C545" s="4" t="s">
        <v>1894</v>
      </c>
      <c r="D545" s="7" t="s">
        <v>19</v>
      </c>
      <c r="E545" s="7" t="s">
        <v>66</v>
      </c>
      <c r="F545" s="7" t="s">
        <v>316</v>
      </c>
      <c r="G545" s="7" t="e">
        <f t="shared" ca="1" si="24"/>
        <v>#NAME?</v>
      </c>
      <c r="H545" s="24" t="s">
        <v>134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1895</v>
      </c>
      <c r="R545" s="45"/>
      <c r="S545" s="7" t="s">
        <v>127</v>
      </c>
      <c r="T545" s="7" t="s">
        <v>1896</v>
      </c>
      <c r="U545" s="7" t="s">
        <v>66</v>
      </c>
      <c r="V545" s="24" t="e">
        <f t="shared" ca="1" si="25"/>
        <v>#NAME?</v>
      </c>
      <c r="W545" s="7"/>
      <c r="X545" s="7"/>
      <c r="Y545" s="29" t="s">
        <v>129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1897</v>
      </c>
      <c r="C546" s="4" t="s">
        <v>1898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134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1899</v>
      </c>
      <c r="R546" s="90"/>
      <c r="S546" s="7" t="s">
        <v>127</v>
      </c>
      <c r="T546" s="4" t="s">
        <v>1900</v>
      </c>
      <c r="U546" s="7" t="s">
        <v>20</v>
      </c>
      <c r="V546" s="24" t="e">
        <f t="shared" ca="1" si="25"/>
        <v>#NAME?</v>
      </c>
      <c r="W546" s="7"/>
      <c r="X546" s="7"/>
      <c r="Y546" s="29" t="s">
        <v>129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1901</v>
      </c>
      <c r="C547" s="4" t="s">
        <v>1902</v>
      </c>
      <c r="D547" s="7" t="s">
        <v>19</v>
      </c>
      <c r="E547" s="7" t="s">
        <v>66</v>
      </c>
      <c r="F547" s="7" t="s">
        <v>144</v>
      </c>
      <c r="G547" s="7" t="e">
        <f t="shared" ca="1" si="24"/>
        <v>#NAME?</v>
      </c>
      <c r="H547" s="24" t="s">
        <v>145</v>
      </c>
      <c r="I547" s="24" t="s">
        <v>146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127</v>
      </c>
      <c r="T547" s="7" t="s">
        <v>1903</v>
      </c>
      <c r="U547" s="7" t="s">
        <v>66</v>
      </c>
      <c r="V547" s="24" t="e">
        <f t="shared" ca="1" si="25"/>
        <v>#NAME?</v>
      </c>
      <c r="W547" s="7"/>
      <c r="X547" s="7"/>
      <c r="Y547" s="29" t="s">
        <v>129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1904</v>
      </c>
      <c r="C548" s="4" t="s">
        <v>1905</v>
      </c>
      <c r="D548" s="7" t="s">
        <v>19</v>
      </c>
      <c r="E548" s="7" t="s">
        <v>20</v>
      </c>
      <c r="F548" s="7" t="s">
        <v>184</v>
      </c>
      <c r="G548" s="7" t="e">
        <f t="shared" ca="1" si="24"/>
        <v>#NAME?</v>
      </c>
      <c r="H548" s="24" t="s">
        <v>134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127</v>
      </c>
      <c r="T548" s="7" t="s">
        <v>1906</v>
      </c>
      <c r="U548" s="7" t="s">
        <v>20</v>
      </c>
      <c r="V548" s="24" t="e">
        <f t="shared" ca="1" si="25"/>
        <v>#NAME?</v>
      </c>
      <c r="W548" s="7"/>
      <c r="X548" s="7"/>
      <c r="Y548" s="29" t="s">
        <v>129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1907</v>
      </c>
      <c r="C549" s="4" t="s">
        <v>1908</v>
      </c>
      <c r="D549" s="7" t="s">
        <v>46</v>
      </c>
      <c r="E549" s="7" t="s">
        <v>20</v>
      </c>
      <c r="F549" s="7" t="s">
        <v>1909</v>
      </c>
      <c r="G549" s="7" t="e">
        <f t="shared" ca="1" si="24"/>
        <v>#NAME?</v>
      </c>
      <c r="H549" s="24" t="s">
        <v>125</v>
      </c>
      <c r="I549" s="24" t="s">
        <v>25</v>
      </c>
      <c r="J549" s="7" t="s">
        <v>1135</v>
      </c>
      <c r="K549" s="25">
        <v>45337</v>
      </c>
      <c r="L549" s="25">
        <v>45532</v>
      </c>
      <c r="M549" s="7" t="s">
        <v>272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127</v>
      </c>
      <c r="T549" s="7" t="s">
        <v>1910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1912</v>
      </c>
      <c r="D550" s="7" t="s">
        <v>19</v>
      </c>
      <c r="E550" s="7" t="s">
        <v>66</v>
      </c>
      <c r="F550" s="7" t="s">
        <v>265</v>
      </c>
      <c r="G550" s="7" t="e">
        <f t="shared" ca="1" si="24"/>
        <v>#NAME?</v>
      </c>
      <c r="H550" s="24" t="s">
        <v>145</v>
      </c>
      <c r="I550" s="24" t="s">
        <v>146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242</v>
      </c>
      <c r="N550" s="26">
        <v>2.5000000000000001E-2</v>
      </c>
      <c r="O550" s="7" t="s">
        <v>167</v>
      </c>
      <c r="P550" s="27">
        <v>0.2</v>
      </c>
      <c r="Q550" s="90"/>
      <c r="R550" s="28" t="s">
        <v>1913</v>
      </c>
      <c r="S550" s="7" t="s">
        <v>127</v>
      </c>
      <c r="T550" s="7" t="s">
        <v>1914</v>
      </c>
      <c r="U550" s="7" t="s">
        <v>66</v>
      </c>
      <c r="V550" s="24" t="e">
        <f t="shared" ca="1" si="25"/>
        <v>#NAME?</v>
      </c>
      <c r="W550" s="7"/>
      <c r="X550" s="7"/>
      <c r="Y550" s="29" t="s">
        <v>240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1915</v>
      </c>
      <c r="C551" s="4" t="s">
        <v>1916</v>
      </c>
      <c r="D551" s="7" t="s">
        <v>19</v>
      </c>
      <c r="E551" s="7" t="s">
        <v>20</v>
      </c>
      <c r="F551" s="7" t="s">
        <v>184</v>
      </c>
      <c r="G551" s="7" t="e">
        <f t="shared" ca="1" si="24"/>
        <v>#NAME?</v>
      </c>
      <c r="H551" s="24" t="s">
        <v>134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242</v>
      </c>
      <c r="N551" s="26">
        <v>2.5000000000000001E-2</v>
      </c>
      <c r="O551" s="7" t="s">
        <v>167</v>
      </c>
      <c r="P551" s="27">
        <v>0.2</v>
      </c>
      <c r="Q551" s="28"/>
      <c r="R551" s="28"/>
      <c r="S551" s="7" t="s">
        <v>127</v>
      </c>
      <c r="T551" s="7" t="s">
        <v>1917</v>
      </c>
      <c r="U551" s="7" t="s">
        <v>48</v>
      </c>
      <c r="V551" s="24" t="e">
        <f t="shared" ca="1" si="25"/>
        <v>#NAME?</v>
      </c>
      <c r="W551" s="7"/>
      <c r="X551" s="7"/>
      <c r="Y551" s="29" t="s">
        <v>129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1915</v>
      </c>
      <c r="C552" s="4" t="s">
        <v>1918</v>
      </c>
      <c r="D552" s="7" t="s">
        <v>19</v>
      </c>
      <c r="E552" s="7" t="s">
        <v>20</v>
      </c>
      <c r="F552" s="7" t="s">
        <v>184</v>
      </c>
      <c r="G552" s="7" t="e">
        <f t="shared" ca="1" si="24"/>
        <v>#NAME?</v>
      </c>
      <c r="H552" s="24" t="s">
        <v>134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484</v>
      </c>
      <c r="N552" s="26">
        <v>0.02</v>
      </c>
      <c r="O552" s="7" t="s">
        <v>167</v>
      </c>
      <c r="P552" s="27">
        <v>0.2</v>
      </c>
      <c r="Q552" s="28"/>
      <c r="R552" s="28"/>
      <c r="S552" s="7" t="s">
        <v>127</v>
      </c>
      <c r="T552" s="7" t="s">
        <v>1917</v>
      </c>
      <c r="U552" s="7" t="s">
        <v>48</v>
      </c>
      <c r="V552" s="24" t="e">
        <f t="shared" ca="1" si="25"/>
        <v>#NAME?</v>
      </c>
      <c r="W552" s="7"/>
      <c r="X552" s="7"/>
      <c r="Y552" s="29" t="s">
        <v>129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1919</v>
      </c>
      <c r="C553" s="4" t="s">
        <v>1920</v>
      </c>
      <c r="D553" s="7" t="s">
        <v>19</v>
      </c>
      <c r="E553" s="7" t="s">
        <v>35</v>
      </c>
      <c r="F553" s="7" t="s">
        <v>250</v>
      </c>
      <c r="G553" s="7" t="e">
        <f t="shared" ca="1" si="24"/>
        <v>#NAME?</v>
      </c>
      <c r="H553" s="24" t="s">
        <v>134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127</v>
      </c>
      <c r="T553" s="7" t="s">
        <v>1921</v>
      </c>
      <c r="U553" s="7" t="s">
        <v>41</v>
      </c>
      <c r="V553" s="24" t="e">
        <f t="shared" ca="1" si="25"/>
        <v>#NAME?</v>
      </c>
      <c r="W553" s="7"/>
      <c r="X553" s="7"/>
      <c r="Y553" s="29" t="s">
        <v>129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1922</v>
      </c>
      <c r="C554" s="39" t="s">
        <v>1923</v>
      </c>
      <c r="D554" s="7" t="s">
        <v>19</v>
      </c>
      <c r="E554" s="7" t="s">
        <v>66</v>
      </c>
      <c r="F554" s="7" t="s">
        <v>265</v>
      </c>
      <c r="G554" s="7" t="e">
        <f t="shared" ca="1" si="24"/>
        <v>#NAME?</v>
      </c>
      <c r="H554" s="24" t="s">
        <v>145</v>
      </c>
      <c r="I554" s="24" t="s">
        <v>146</v>
      </c>
      <c r="J554" s="7" t="str">
        <f t="shared" si="27"/>
        <v>Não</v>
      </c>
      <c r="K554" s="25">
        <v>45390</v>
      </c>
      <c r="L554" s="7"/>
      <c r="M554" s="7" t="s">
        <v>1924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127</v>
      </c>
      <c r="T554" s="6" t="s">
        <v>1925</v>
      </c>
      <c r="U554" s="7" t="s">
        <v>66</v>
      </c>
      <c r="V554" s="24" t="e">
        <f t="shared" ca="1" si="25"/>
        <v>#NAME?</v>
      </c>
      <c r="W554" s="7"/>
      <c r="X554" s="7"/>
      <c r="Y554" s="29" t="s">
        <v>129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1926</v>
      </c>
      <c r="C555" s="4" t="s">
        <v>1927</v>
      </c>
      <c r="D555" s="7" t="s">
        <v>19</v>
      </c>
      <c r="E555" s="7" t="s">
        <v>20</v>
      </c>
      <c r="F555" s="7" t="s">
        <v>360</v>
      </c>
      <c r="G555" s="7" t="e">
        <f t="shared" ca="1" si="24"/>
        <v>#NAME?</v>
      </c>
      <c r="H555" s="24" t="s">
        <v>145</v>
      </c>
      <c r="I555" s="24" t="s">
        <v>229</v>
      </c>
      <c r="J555" s="7" t="str">
        <f t="shared" si="27"/>
        <v>Sim</v>
      </c>
      <c r="K555" s="25">
        <v>44908</v>
      </c>
      <c r="L555" s="7"/>
      <c r="M555" s="7" t="s">
        <v>242</v>
      </c>
      <c r="N555" s="26">
        <v>0.02</v>
      </c>
      <c r="O555" s="7" t="s">
        <v>167</v>
      </c>
      <c r="P555" s="27">
        <v>0.2</v>
      </c>
      <c r="Q555" s="161" t="s">
        <v>1928</v>
      </c>
      <c r="R555" s="28" t="s">
        <v>1929</v>
      </c>
      <c r="S555" s="7" t="s">
        <v>127</v>
      </c>
      <c r="T555" s="7" t="s">
        <v>1930</v>
      </c>
      <c r="U555" s="7" t="s">
        <v>20</v>
      </c>
      <c r="V555" s="24" t="e">
        <f t="shared" ca="1" si="25"/>
        <v>#NAME?</v>
      </c>
      <c r="W555" s="7"/>
      <c r="X555" s="7"/>
      <c r="Y555" s="29" t="s">
        <v>129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1926</v>
      </c>
      <c r="C556" s="4" t="s">
        <v>1931</v>
      </c>
      <c r="D556" s="7" t="s">
        <v>19</v>
      </c>
      <c r="E556" s="7" t="s">
        <v>20</v>
      </c>
      <c r="F556" s="7" t="s">
        <v>360</v>
      </c>
      <c r="G556" s="7" t="e">
        <f t="shared" ca="1" si="24"/>
        <v>#NAME?</v>
      </c>
      <c r="H556" s="24" t="s">
        <v>145</v>
      </c>
      <c r="I556" s="24" t="s">
        <v>229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1932</v>
      </c>
      <c r="R556" s="43" t="s">
        <v>1933</v>
      </c>
      <c r="S556" s="7" t="s">
        <v>127</v>
      </c>
      <c r="T556" s="7" t="s">
        <v>1930</v>
      </c>
      <c r="U556" s="7" t="s">
        <v>20</v>
      </c>
      <c r="V556" s="24" t="e">
        <f t="shared" ca="1" si="25"/>
        <v>#NAME?</v>
      </c>
      <c r="W556" s="7"/>
      <c r="X556" s="7"/>
      <c r="Y556" s="29" t="s">
        <v>129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1934</v>
      </c>
      <c r="C557" s="4" t="s">
        <v>1935</v>
      </c>
      <c r="D557" s="7" t="s">
        <v>19</v>
      </c>
      <c r="E557" s="7" t="s">
        <v>66</v>
      </c>
      <c r="F557" s="7" t="s">
        <v>265</v>
      </c>
      <c r="G557" s="7" t="e">
        <f t="shared" ca="1" si="24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127</v>
      </c>
      <c r="T557" s="7" t="s">
        <v>1936</v>
      </c>
      <c r="U557" s="7" t="s">
        <v>66</v>
      </c>
      <c r="V557" s="24" t="e">
        <f t="shared" ca="1" si="25"/>
        <v>#NAME?</v>
      </c>
      <c r="W557" s="7"/>
      <c r="X557" s="7"/>
      <c r="Y557" s="29" t="s">
        <v>129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1937</v>
      </c>
      <c r="C558" s="4" t="s">
        <v>1938</v>
      </c>
      <c r="D558" s="7" t="s">
        <v>19</v>
      </c>
      <c r="E558" s="7" t="s">
        <v>35</v>
      </c>
      <c r="F558" s="7" t="s">
        <v>199</v>
      </c>
      <c r="G558" s="7" t="e">
        <f t="shared" ca="1" si="24"/>
        <v>#NAME?</v>
      </c>
      <c r="H558" s="24" t="s">
        <v>145</v>
      </c>
      <c r="I558" s="24" t="s">
        <v>146</v>
      </c>
      <c r="J558" s="7" t="str">
        <f t="shared" si="27"/>
        <v>Não</v>
      </c>
      <c r="K558" s="25">
        <v>45127</v>
      </c>
      <c r="L558" s="25"/>
      <c r="M558" s="7" t="s">
        <v>242</v>
      </c>
      <c r="N558" s="26">
        <v>2.5000000000000001E-2</v>
      </c>
      <c r="O558" s="7" t="s">
        <v>167</v>
      </c>
      <c r="P558" s="27">
        <v>0.2</v>
      </c>
      <c r="Q558" s="90"/>
      <c r="R558" s="90"/>
      <c r="S558" s="7" t="s">
        <v>127</v>
      </c>
      <c r="T558" s="7" t="s">
        <v>1939</v>
      </c>
      <c r="U558" s="7" t="s">
        <v>202</v>
      </c>
      <c r="V558" s="24" t="e">
        <f t="shared" ca="1" si="25"/>
        <v>#NAME?</v>
      </c>
      <c r="W558" s="7"/>
      <c r="X558" s="7"/>
      <c r="Y558" s="29" t="s">
        <v>129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1937</v>
      </c>
      <c r="C559" s="4" t="s">
        <v>1940</v>
      </c>
      <c r="D559" s="7" t="s">
        <v>19</v>
      </c>
      <c r="E559" s="7" t="s">
        <v>35</v>
      </c>
      <c r="F559" s="7" t="s">
        <v>199</v>
      </c>
      <c r="G559" s="7" t="e">
        <f t="shared" ca="1" si="24"/>
        <v>#NAME?</v>
      </c>
      <c r="H559" s="24" t="s">
        <v>145</v>
      </c>
      <c r="I559" s="24" t="s">
        <v>146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127</v>
      </c>
      <c r="T559" s="7" t="s">
        <v>1939</v>
      </c>
      <c r="U559" s="7" t="s">
        <v>202</v>
      </c>
      <c r="V559" s="24" t="e">
        <f t="shared" ca="1" si="25"/>
        <v>#NAME?</v>
      </c>
      <c r="W559" s="7"/>
      <c r="X559" s="7"/>
      <c r="Y559" s="29" t="s">
        <v>129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1941</v>
      </c>
      <c r="C560" s="4" t="s">
        <v>1942</v>
      </c>
      <c r="D560" s="7" t="s">
        <v>46</v>
      </c>
      <c r="E560" s="7" t="s">
        <v>20</v>
      </c>
      <c r="F560" s="7" t="s">
        <v>124</v>
      </c>
      <c r="G560" s="7" t="e">
        <f t="shared" ca="1" si="24"/>
        <v>#NAME?</v>
      </c>
      <c r="H560" s="24" t="s">
        <v>125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185</v>
      </c>
      <c r="N560" s="26">
        <v>1.4999999999999999E-2</v>
      </c>
      <c r="O560" s="7" t="s">
        <v>39</v>
      </c>
      <c r="P560" s="27">
        <v>0.1</v>
      </c>
      <c r="Q560" s="28"/>
      <c r="R560" s="28" t="s">
        <v>1492</v>
      </c>
      <c r="S560" s="7" t="s">
        <v>127</v>
      </c>
      <c r="T560" s="7" t="s">
        <v>1943</v>
      </c>
      <c r="U560" s="7" t="s">
        <v>20</v>
      </c>
      <c r="V560" s="24" t="e">
        <f t="shared" ca="1" si="25"/>
        <v>#NAME?</v>
      </c>
      <c r="W560" s="7"/>
      <c r="X560" s="7"/>
      <c r="Y560" s="29" t="s">
        <v>240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4" t="s">
        <v>1945</v>
      </c>
      <c r="D561" s="7" t="s">
        <v>46</v>
      </c>
      <c r="E561" s="7" t="s">
        <v>20</v>
      </c>
      <c r="F561" s="7" t="s">
        <v>124</v>
      </c>
      <c r="G561" s="7" t="e">
        <f t="shared" ca="1" si="24"/>
        <v>#NAME?</v>
      </c>
      <c r="H561" s="24" t="s">
        <v>125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1492</v>
      </c>
      <c r="S561" s="7" t="s">
        <v>127</v>
      </c>
      <c r="T561" s="12" t="s">
        <v>1943</v>
      </c>
      <c r="U561" s="7" t="s">
        <v>20</v>
      </c>
      <c r="V561" s="24" t="e">
        <f t="shared" ca="1" si="25"/>
        <v>#NAME?</v>
      </c>
      <c r="W561" s="7"/>
      <c r="X561" s="7"/>
      <c r="Y561" s="29" t="s">
        <v>240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1946</v>
      </c>
      <c r="C562" s="44" t="s">
        <v>1947</v>
      </c>
      <c r="D562" s="7" t="s">
        <v>19</v>
      </c>
      <c r="E562" s="7" t="s">
        <v>20</v>
      </c>
      <c r="F562" s="7" t="s">
        <v>360</v>
      </c>
      <c r="G562" s="7" t="e">
        <f t="shared" ca="1" si="24"/>
        <v>#NAME?</v>
      </c>
      <c r="H562" s="24" t="s">
        <v>145</v>
      </c>
      <c r="I562" s="24" t="s">
        <v>229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127</v>
      </c>
      <c r="T562" s="12" t="s">
        <v>1948</v>
      </c>
      <c r="U562" s="7" t="s">
        <v>20</v>
      </c>
      <c r="V562" s="24" t="e">
        <f t="shared" ca="1" si="25"/>
        <v>#NAME?</v>
      </c>
      <c r="W562" s="7"/>
      <c r="X562" s="7" t="s">
        <v>152</v>
      </c>
      <c r="Y562" s="29" t="s">
        <v>129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1949</v>
      </c>
      <c r="C563" s="4" t="s">
        <v>1950</v>
      </c>
      <c r="D563" s="7" t="s">
        <v>46</v>
      </c>
      <c r="E563" s="7" t="s">
        <v>20</v>
      </c>
      <c r="F563" s="7" t="s">
        <v>477</v>
      </c>
      <c r="G563" s="7" t="e">
        <f t="shared" ca="1" si="24"/>
        <v>#NAME?</v>
      </c>
      <c r="H563" s="24" t="s">
        <v>125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692</v>
      </c>
      <c r="S563" s="7" t="s">
        <v>127</v>
      </c>
      <c r="T563" s="7" t="s">
        <v>1951</v>
      </c>
      <c r="U563" s="7" t="s">
        <v>41</v>
      </c>
      <c r="V563" s="24" t="e">
        <f t="shared" ca="1" si="25"/>
        <v>#NAME?</v>
      </c>
      <c r="W563" s="7"/>
      <c r="X563" s="7"/>
      <c r="Y563" s="29" t="s">
        <v>129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1952</v>
      </c>
      <c r="C564" s="4" t="s">
        <v>1953</v>
      </c>
      <c r="D564" s="7" t="s">
        <v>46</v>
      </c>
      <c r="E564" s="7" t="s">
        <v>20</v>
      </c>
      <c r="F564" s="7" t="s">
        <v>1954</v>
      </c>
      <c r="G564" s="7" t="e">
        <f t="shared" ca="1" si="24"/>
        <v>#NAME?</v>
      </c>
      <c r="H564" s="24" t="s">
        <v>134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127</v>
      </c>
      <c r="T564" s="7" t="s">
        <v>1955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421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1956</v>
      </c>
      <c r="C565" s="4" t="s">
        <v>1957</v>
      </c>
      <c r="D565" s="7" t="s">
        <v>46</v>
      </c>
      <c r="E565" s="7" t="s">
        <v>20</v>
      </c>
      <c r="F565" s="7" t="s">
        <v>124</v>
      </c>
      <c r="G565" s="7" t="e">
        <f t="shared" ca="1" si="24"/>
        <v>#NAME?</v>
      </c>
      <c r="H565" s="24" t="s">
        <v>145</v>
      </c>
      <c r="I565" s="24" t="s">
        <v>229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692</v>
      </c>
      <c r="S565" s="7" t="s">
        <v>127</v>
      </c>
      <c r="T565" s="7" t="s">
        <v>1958</v>
      </c>
      <c r="U565" s="7" t="s">
        <v>41</v>
      </c>
      <c r="V565" s="24" t="e">
        <f t="shared" ca="1" si="25"/>
        <v>#NAME?</v>
      </c>
      <c r="W565" s="7"/>
      <c r="X565" s="7"/>
      <c r="Y565" s="29" t="s">
        <v>240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1959</v>
      </c>
      <c r="C566" s="4" t="s">
        <v>1960</v>
      </c>
      <c r="D566" s="7" t="s">
        <v>19</v>
      </c>
      <c r="E566" s="7" t="s">
        <v>20</v>
      </c>
      <c r="F566" s="7" t="s">
        <v>360</v>
      </c>
      <c r="G566" s="7" t="e">
        <f t="shared" ca="1" si="24"/>
        <v>#NAME?</v>
      </c>
      <c r="H566" s="24" t="s">
        <v>134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872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127</v>
      </c>
      <c r="T566" s="7" t="s">
        <v>1961</v>
      </c>
      <c r="U566" s="7" t="s">
        <v>20</v>
      </c>
      <c r="V566" s="24" t="e">
        <f t="shared" ca="1" si="25"/>
        <v>#NAME?</v>
      </c>
      <c r="W566" s="7"/>
      <c r="X566" s="7"/>
      <c r="Y566" s="29" t="s">
        <v>129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1959</v>
      </c>
      <c r="C567" s="4" t="s">
        <v>1962</v>
      </c>
      <c r="D567" s="7" t="s">
        <v>19</v>
      </c>
      <c r="E567" s="7" t="s">
        <v>20</v>
      </c>
      <c r="F567" s="7" t="s">
        <v>360</v>
      </c>
      <c r="G567" s="7" t="e">
        <f t="shared" ca="1" si="24"/>
        <v>#NAME?</v>
      </c>
      <c r="H567" s="24" t="s">
        <v>145</v>
      </c>
      <c r="I567" s="24" t="s">
        <v>146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1963</v>
      </c>
      <c r="S567" s="7" t="s">
        <v>127</v>
      </c>
      <c r="T567" s="7" t="s">
        <v>1961</v>
      </c>
      <c r="U567" s="7" t="s">
        <v>20</v>
      </c>
      <c r="V567" s="24" t="e">
        <f t="shared" ca="1" si="25"/>
        <v>#NAME?</v>
      </c>
      <c r="W567" s="7"/>
      <c r="X567" s="7"/>
      <c r="Y567" s="29" t="s">
        <v>129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1964</v>
      </c>
      <c r="C568" s="39" t="s">
        <v>1965</v>
      </c>
      <c r="D568" s="7" t="s">
        <v>71</v>
      </c>
      <c r="E568" s="7" t="s">
        <v>66</v>
      </c>
      <c r="F568" s="7" t="s">
        <v>72</v>
      </c>
      <c r="G568" s="7" t="e">
        <f t="shared" ca="1" si="24"/>
        <v>#NAME?</v>
      </c>
      <c r="H568" s="24" t="s">
        <v>134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127</v>
      </c>
      <c r="T568" s="6" t="s">
        <v>1966</v>
      </c>
      <c r="U568" s="7" t="s">
        <v>66</v>
      </c>
      <c r="V568" s="24" t="e">
        <f t="shared" ca="1" si="25"/>
        <v>#NAME?</v>
      </c>
      <c r="W568" s="7"/>
      <c r="X568" s="7"/>
      <c r="Y568" s="29" t="s">
        <v>129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1967</v>
      </c>
      <c r="C569" s="39" t="s">
        <v>1968</v>
      </c>
      <c r="D569" s="7" t="s">
        <v>19</v>
      </c>
      <c r="E569" s="7" t="s">
        <v>20</v>
      </c>
      <c r="F569" s="7" t="s">
        <v>720</v>
      </c>
      <c r="G569" s="7" t="e">
        <f t="shared" ca="1" si="24"/>
        <v>#NAME?</v>
      </c>
      <c r="H569" s="24" t="s">
        <v>145</v>
      </c>
      <c r="I569" s="24" t="s">
        <v>229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1969</v>
      </c>
      <c r="R569" s="90"/>
      <c r="S569" s="7" t="s">
        <v>127</v>
      </c>
      <c r="T569" s="6" t="s">
        <v>1970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129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1971</v>
      </c>
      <c r="C570" s="4" t="s">
        <v>1972</v>
      </c>
      <c r="D570" s="7" t="s">
        <v>19</v>
      </c>
      <c r="E570" s="7" t="s">
        <v>66</v>
      </c>
      <c r="F570" s="7" t="s">
        <v>67</v>
      </c>
      <c r="G570" s="7" t="e">
        <f t="shared" ca="1" si="24"/>
        <v>#NAME?</v>
      </c>
      <c r="H570" s="24" t="s">
        <v>134</v>
      </c>
      <c r="I570" s="24" t="s">
        <v>25</v>
      </c>
      <c r="J570" s="7" t="str">
        <f t="shared" si="27"/>
        <v>Sim</v>
      </c>
      <c r="K570" s="25">
        <v>44957</v>
      </c>
      <c r="L570" s="7"/>
      <c r="M570" s="7" t="s">
        <v>242</v>
      </c>
      <c r="N570" s="26">
        <v>1.2E-2</v>
      </c>
      <c r="O570" s="7" t="s">
        <v>167</v>
      </c>
      <c r="P570" s="27">
        <v>0.2</v>
      </c>
      <c r="Q570" s="71" t="s">
        <v>1973</v>
      </c>
      <c r="R570" s="28" t="s">
        <v>1848</v>
      </c>
      <c r="S570" s="7" t="s">
        <v>127</v>
      </c>
      <c r="T570" s="7" t="s">
        <v>1974</v>
      </c>
      <c r="U570" s="7" t="s">
        <v>66</v>
      </c>
      <c r="V570" s="24" t="e">
        <f t="shared" ca="1" si="25"/>
        <v>#NAME?</v>
      </c>
      <c r="W570" s="7"/>
      <c r="X570" s="7" t="s">
        <v>152</v>
      </c>
      <c r="Y570" s="29" t="s">
        <v>129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1971</v>
      </c>
      <c r="C571" s="4" t="s">
        <v>1975</v>
      </c>
      <c r="D571" s="7" t="s">
        <v>19</v>
      </c>
      <c r="E571" s="7" t="s">
        <v>66</v>
      </c>
      <c r="F571" s="7" t="s">
        <v>67</v>
      </c>
      <c r="G571" s="7" t="e">
        <f t="shared" ca="1" si="24"/>
        <v>#NAME?</v>
      </c>
      <c r="H571" s="24" t="s">
        <v>134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1976</v>
      </c>
      <c r="S571" s="7" t="s">
        <v>127</v>
      </c>
      <c r="T571" s="7" t="s">
        <v>1974</v>
      </c>
      <c r="U571" s="7" t="s">
        <v>66</v>
      </c>
      <c r="V571" s="24" t="e">
        <f t="shared" ca="1" si="25"/>
        <v>#NAME?</v>
      </c>
      <c r="W571" s="7"/>
      <c r="X571" s="7" t="s">
        <v>152</v>
      </c>
      <c r="Y571" s="29" t="s">
        <v>129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1977</v>
      </c>
      <c r="C572" s="4" t="s">
        <v>1978</v>
      </c>
      <c r="D572" s="7" t="s">
        <v>55</v>
      </c>
      <c r="E572" s="7" t="s">
        <v>20</v>
      </c>
      <c r="F572" s="7" t="s">
        <v>325</v>
      </c>
      <c r="G572" s="7" t="e">
        <f t="shared" ca="1" si="24"/>
        <v>#NAME?</v>
      </c>
      <c r="H572" s="24" t="s">
        <v>134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127</v>
      </c>
      <c r="T572" s="7" t="s">
        <v>1979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129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1980</v>
      </c>
      <c r="C573" s="4" t="s">
        <v>1981</v>
      </c>
      <c r="D573" s="7" t="s">
        <v>19</v>
      </c>
      <c r="E573" s="7" t="s">
        <v>66</v>
      </c>
      <c r="F573" s="7" t="s">
        <v>144</v>
      </c>
      <c r="G573" s="7" t="e">
        <f t="shared" ca="1" si="24"/>
        <v>#NAME?</v>
      </c>
      <c r="H573" s="24" t="s">
        <v>145</v>
      </c>
      <c r="I573" s="24" t="s">
        <v>146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127</v>
      </c>
      <c r="T573" s="7" t="s">
        <v>1982</v>
      </c>
      <c r="U573" s="7" t="s">
        <v>66</v>
      </c>
      <c r="V573" s="24" t="e">
        <f t="shared" ca="1" si="25"/>
        <v>#NAME?</v>
      </c>
      <c r="W573" s="7"/>
      <c r="X573" s="7"/>
      <c r="Y573" s="29" t="s">
        <v>129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1983</v>
      </c>
      <c r="C574" s="4" t="s">
        <v>1984</v>
      </c>
      <c r="D574" s="7" t="s">
        <v>19</v>
      </c>
      <c r="E574" s="7" t="s">
        <v>35</v>
      </c>
      <c r="F574" s="7" t="s">
        <v>250</v>
      </c>
      <c r="G574" s="7" t="e">
        <f t="shared" ca="1" si="24"/>
        <v>#NAME?</v>
      </c>
      <c r="H574" s="24" t="s">
        <v>145</v>
      </c>
      <c r="I574" s="24" t="s">
        <v>146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1882</v>
      </c>
      <c r="S574" s="7" t="s">
        <v>127</v>
      </c>
      <c r="T574" s="7" t="s">
        <v>1985</v>
      </c>
      <c r="U574" s="7" t="s">
        <v>202</v>
      </c>
      <c r="V574" s="24" t="e">
        <f t="shared" ca="1" si="25"/>
        <v>#NAME?</v>
      </c>
      <c r="W574" s="7"/>
      <c r="X574" s="7"/>
      <c r="Y574" s="29" t="s">
        <v>129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1986</v>
      </c>
      <c r="C575" s="41" t="s">
        <v>1987</v>
      </c>
      <c r="D575" s="7" t="s">
        <v>19</v>
      </c>
      <c r="E575" s="7" t="s">
        <v>66</v>
      </c>
      <c r="F575" s="162" t="s">
        <v>144</v>
      </c>
      <c r="G575" s="7" t="e">
        <f t="shared" ca="1" si="24"/>
        <v>#NAME?</v>
      </c>
      <c r="H575" s="24" t="s">
        <v>145</v>
      </c>
      <c r="I575" s="24" t="s">
        <v>146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127</v>
      </c>
      <c r="T575" s="7" t="s">
        <v>1988</v>
      </c>
      <c r="U575" s="78" t="s">
        <v>66</v>
      </c>
      <c r="V575" s="24" t="e">
        <f t="shared" ca="1" si="25"/>
        <v>#NAME?</v>
      </c>
      <c r="W575" s="163"/>
      <c r="X575" s="163"/>
      <c r="Y575" s="28" t="s">
        <v>129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1989</v>
      </c>
      <c r="C576" s="4" t="s">
        <v>1990</v>
      </c>
      <c r="D576" s="7" t="s">
        <v>19</v>
      </c>
      <c r="E576" s="7" t="s">
        <v>20</v>
      </c>
      <c r="F576" s="7" t="s">
        <v>791</v>
      </c>
      <c r="G576" s="7" t="e">
        <f t="shared" ca="1" si="24"/>
        <v>#NAME?</v>
      </c>
      <c r="H576" s="24" t="s">
        <v>134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127</v>
      </c>
      <c r="T576" s="7" t="s">
        <v>1991</v>
      </c>
      <c r="U576" s="7" t="s">
        <v>66</v>
      </c>
      <c r="V576" s="24" t="e">
        <f t="shared" ca="1" si="25"/>
        <v>#NAME?</v>
      </c>
      <c r="W576" s="7"/>
      <c r="X576" s="7"/>
      <c r="Y576" s="29" t="s">
        <v>129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1992</v>
      </c>
      <c r="C577" s="41" t="s">
        <v>1993</v>
      </c>
      <c r="D577" s="7" t="s">
        <v>46</v>
      </c>
      <c r="E577" s="7" t="s">
        <v>20</v>
      </c>
      <c r="F577" s="7" t="s">
        <v>124</v>
      </c>
      <c r="G577" s="7" t="e">
        <f t="shared" ca="1" si="24"/>
        <v>#NAME?</v>
      </c>
      <c r="H577" s="24" t="s">
        <v>125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127</v>
      </c>
      <c r="T577" s="7" t="s">
        <v>1994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129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1995</v>
      </c>
      <c r="C578" s="4" t="s">
        <v>1996</v>
      </c>
      <c r="D578" s="7" t="s">
        <v>19</v>
      </c>
      <c r="E578" s="7" t="s">
        <v>66</v>
      </c>
      <c r="F578" s="7" t="s">
        <v>67</v>
      </c>
      <c r="G578" s="7" t="e">
        <f t="shared" ca="1" si="24"/>
        <v>#NAME?</v>
      </c>
      <c r="H578" s="24" t="s">
        <v>145</v>
      </c>
      <c r="I578" s="24" t="s">
        <v>146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127</v>
      </c>
      <c r="T578" s="7" t="s">
        <v>1997</v>
      </c>
      <c r="U578" s="7" t="s">
        <v>66</v>
      </c>
      <c r="V578" s="24" t="e">
        <f t="shared" ca="1" si="25"/>
        <v>#NAME?</v>
      </c>
      <c r="W578" s="7"/>
      <c r="X578" s="7"/>
      <c r="Y578" s="29" t="s">
        <v>129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1998</v>
      </c>
      <c r="C579" s="4" t="s">
        <v>1999</v>
      </c>
      <c r="D579" s="7" t="s">
        <v>19</v>
      </c>
      <c r="E579" s="7" t="s">
        <v>66</v>
      </c>
      <c r="F579" s="7" t="s">
        <v>67</v>
      </c>
      <c r="G579" s="7" t="e">
        <f t="shared" ca="1" si="24"/>
        <v>#NAME?</v>
      </c>
      <c r="H579" s="24" t="s">
        <v>134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2000</v>
      </c>
      <c r="S579" s="7" t="s">
        <v>127</v>
      </c>
      <c r="T579" s="7" t="s">
        <v>2001</v>
      </c>
      <c r="U579" s="7" t="s">
        <v>66</v>
      </c>
      <c r="V579" s="24" t="e">
        <f t="shared" ca="1" si="25"/>
        <v>#NAME?</v>
      </c>
      <c r="W579" s="7"/>
      <c r="X579" s="7" t="s">
        <v>42</v>
      </c>
      <c r="Y579" s="29" t="s">
        <v>129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1998</v>
      </c>
      <c r="C580" s="4" t="s">
        <v>2002</v>
      </c>
      <c r="D580" s="7" t="s">
        <v>19</v>
      </c>
      <c r="E580" s="7" t="s">
        <v>66</v>
      </c>
      <c r="F580" s="7" t="s">
        <v>67</v>
      </c>
      <c r="G580" s="7" t="e">
        <f t="shared" ca="1" si="24"/>
        <v>#NAME?</v>
      </c>
      <c r="H580" s="24" t="s">
        <v>134</v>
      </c>
      <c r="I580" s="24" t="s">
        <v>25</v>
      </c>
      <c r="J580" s="7" t="str">
        <f t="shared" si="27"/>
        <v>Não</v>
      </c>
      <c r="K580" s="25">
        <v>45432</v>
      </c>
      <c r="L580" s="7"/>
      <c r="M580" s="7" t="s">
        <v>242</v>
      </c>
      <c r="N580" s="26">
        <v>1.0999999999999999E-2</v>
      </c>
      <c r="O580" s="7" t="s">
        <v>167</v>
      </c>
      <c r="P580" s="27">
        <v>0.2</v>
      </c>
      <c r="Q580" s="23"/>
      <c r="R580" s="28"/>
      <c r="S580" s="7" t="s">
        <v>127</v>
      </c>
      <c r="T580" s="7" t="s">
        <v>2001</v>
      </c>
      <c r="U580" s="7" t="s">
        <v>66</v>
      </c>
      <c r="V580" s="24" t="e">
        <f t="shared" ca="1" si="25"/>
        <v>#NAME?</v>
      </c>
      <c r="W580" s="7"/>
      <c r="X580" s="7" t="s">
        <v>42</v>
      </c>
      <c r="Y580" s="29" t="s">
        <v>129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2003</v>
      </c>
      <c r="C581" s="4" t="s">
        <v>2004</v>
      </c>
      <c r="D581" s="7" t="s">
        <v>19</v>
      </c>
      <c r="E581" s="7" t="s">
        <v>66</v>
      </c>
      <c r="F581" s="7" t="s">
        <v>144</v>
      </c>
      <c r="G581" s="7" t="e">
        <f t="shared" ca="1" si="24"/>
        <v>#NAME?</v>
      </c>
      <c r="H581" s="24" t="s">
        <v>134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2005</v>
      </c>
      <c r="R581" s="28"/>
      <c r="S581" s="7" t="s">
        <v>127</v>
      </c>
      <c r="T581" s="7" t="s">
        <v>2006</v>
      </c>
      <c r="U581" s="7" t="s">
        <v>66</v>
      </c>
      <c r="V581" s="24" t="e">
        <f t="shared" ca="1" si="25"/>
        <v>#NAME?</v>
      </c>
      <c r="W581" s="7"/>
      <c r="X581" s="7"/>
      <c r="Y581" s="29" t="s">
        <v>129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2007</v>
      </c>
      <c r="C582" s="4" t="s">
        <v>2008</v>
      </c>
      <c r="D582" s="7" t="s">
        <v>46</v>
      </c>
      <c r="E582" s="7" t="s">
        <v>20</v>
      </c>
      <c r="F582" s="7" t="s">
        <v>477</v>
      </c>
      <c r="G582" s="7" t="e">
        <f t="shared" ca="1" si="24"/>
        <v>#NAME?</v>
      </c>
      <c r="H582" s="24" t="s">
        <v>145</v>
      </c>
      <c r="I582" s="24" t="s">
        <v>229</v>
      </c>
      <c r="J582" s="7" t="s">
        <v>165</v>
      </c>
      <c r="K582" s="25">
        <v>45349</v>
      </c>
      <c r="L582" s="7"/>
      <c r="M582" s="7" t="s">
        <v>338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127</v>
      </c>
      <c r="T582" s="7" t="s">
        <v>2009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2010</v>
      </c>
      <c r="C583" s="41" t="s">
        <v>2011</v>
      </c>
      <c r="D583" s="7" t="s">
        <v>19</v>
      </c>
      <c r="E583" s="7" t="s">
        <v>35</v>
      </c>
      <c r="F583" s="7" t="s">
        <v>250</v>
      </c>
      <c r="G583" s="7" t="e">
        <f t="shared" ca="1" si="24"/>
        <v>#NAME?</v>
      </c>
      <c r="H583" s="24" t="s">
        <v>134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2012</v>
      </c>
      <c r="R583" s="90"/>
      <c r="S583" s="7" t="s">
        <v>127</v>
      </c>
      <c r="T583" s="7" t="s">
        <v>2013</v>
      </c>
      <c r="U583" s="7" t="s">
        <v>202</v>
      </c>
      <c r="V583" s="24" t="e">
        <f t="shared" ca="1" si="25"/>
        <v>#NAME?</v>
      </c>
      <c r="W583" s="7"/>
      <c r="X583" s="7"/>
      <c r="Y583" s="29" t="s">
        <v>129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2010</v>
      </c>
      <c r="C584" s="34" t="s">
        <v>2014</v>
      </c>
      <c r="D584" s="7" t="s">
        <v>19</v>
      </c>
      <c r="E584" s="7" t="s">
        <v>35</v>
      </c>
      <c r="F584" s="7" t="s">
        <v>250</v>
      </c>
      <c r="G584" s="7" t="e">
        <f t="shared" ca="1" si="24"/>
        <v>#NAME?</v>
      </c>
      <c r="H584" s="24" t="s">
        <v>134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2012</v>
      </c>
      <c r="R584" s="90"/>
      <c r="S584" s="7" t="s">
        <v>127</v>
      </c>
      <c r="T584" s="7" t="s">
        <v>2013</v>
      </c>
      <c r="U584" s="7" t="s">
        <v>202</v>
      </c>
      <c r="V584" s="24" t="e">
        <f t="shared" ca="1" si="25"/>
        <v>#NAME?</v>
      </c>
      <c r="W584" s="7"/>
      <c r="X584" s="7"/>
      <c r="Y584" s="29" t="s">
        <v>129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2015</v>
      </c>
      <c r="C585" s="4" t="s">
        <v>2016</v>
      </c>
      <c r="D585" s="7" t="s">
        <v>19</v>
      </c>
      <c r="E585" s="7" t="s">
        <v>66</v>
      </c>
      <c r="F585" s="7" t="s">
        <v>265</v>
      </c>
      <c r="G585" s="7" t="e">
        <f t="shared" ca="1" si="24"/>
        <v>#NAME?</v>
      </c>
      <c r="H585" s="24" t="s">
        <v>145</v>
      </c>
      <c r="I585" s="24" t="s">
        <v>146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127</v>
      </c>
      <c r="T585" s="6" t="s">
        <v>2017</v>
      </c>
      <c r="U585" s="7" t="s">
        <v>48</v>
      </c>
      <c r="V585" s="24" t="e">
        <f t="shared" ca="1" si="25"/>
        <v>#NAME?</v>
      </c>
      <c r="W585" s="7"/>
      <c r="X585" s="7"/>
      <c r="Y585" s="29" t="s">
        <v>129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60" t="s">
        <v>2019</v>
      </c>
      <c r="D586" s="7" t="s">
        <v>19</v>
      </c>
      <c r="E586" s="7" t="s">
        <v>35</v>
      </c>
      <c r="F586" s="7" t="s">
        <v>606</v>
      </c>
      <c r="G586" s="7" t="e">
        <f t="shared" ca="1" si="24"/>
        <v>#NAME?</v>
      </c>
      <c r="H586" s="24" t="s">
        <v>145</v>
      </c>
      <c r="I586" s="24" t="s">
        <v>146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1150</v>
      </c>
      <c r="S586" s="7" t="s">
        <v>127</v>
      </c>
      <c r="T586" s="7" t="s">
        <v>2020</v>
      </c>
      <c r="U586" s="7" t="s">
        <v>41</v>
      </c>
      <c r="V586" s="24" t="e">
        <f t="shared" ca="1" si="25"/>
        <v>#NAME?</v>
      </c>
      <c r="W586" s="7"/>
      <c r="X586" s="7"/>
      <c r="Y586" s="29" t="s">
        <v>129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2021</v>
      </c>
      <c r="C587" s="4" t="s">
        <v>2022</v>
      </c>
      <c r="D587" s="7" t="s">
        <v>19</v>
      </c>
      <c r="E587" s="7" t="s">
        <v>20</v>
      </c>
      <c r="F587" s="7" t="s">
        <v>184</v>
      </c>
      <c r="G587" s="7" t="e">
        <f t="shared" ca="1" si="24"/>
        <v>#NAME?</v>
      </c>
      <c r="H587" s="24" t="s">
        <v>134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127</v>
      </c>
      <c r="T587" s="7" t="s">
        <v>2023</v>
      </c>
      <c r="U587" s="7" t="s">
        <v>66</v>
      </c>
      <c r="V587" s="24" t="e">
        <f t="shared" ca="1" si="25"/>
        <v>#NAME?</v>
      </c>
      <c r="W587" s="7"/>
      <c r="X587" s="7"/>
      <c r="Y587" s="29" t="s">
        <v>129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2024</v>
      </c>
      <c r="C588" s="4" t="s">
        <v>2025</v>
      </c>
      <c r="D588" s="7" t="s">
        <v>19</v>
      </c>
      <c r="E588" s="7" t="s">
        <v>66</v>
      </c>
      <c r="F588" s="7" t="s">
        <v>67</v>
      </c>
      <c r="G588" s="7" t="e">
        <f t="shared" ca="1" si="24"/>
        <v>#NAME?</v>
      </c>
      <c r="H588" s="24" t="s">
        <v>134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127</v>
      </c>
      <c r="T588" s="7" t="s">
        <v>2026</v>
      </c>
      <c r="U588" s="7" t="s">
        <v>66</v>
      </c>
      <c r="V588" s="24" t="e">
        <f t="shared" ca="1" si="25"/>
        <v>#NAME?</v>
      </c>
      <c r="W588" s="7"/>
      <c r="X588" s="7" t="s">
        <v>137</v>
      </c>
      <c r="Y588" s="29" t="s">
        <v>240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2027</v>
      </c>
      <c r="C589" s="4" t="s">
        <v>2028</v>
      </c>
      <c r="D589" s="7" t="s">
        <v>19</v>
      </c>
      <c r="E589" s="7" t="s">
        <v>66</v>
      </c>
      <c r="F589" s="7" t="s">
        <v>144</v>
      </c>
      <c r="G589" s="7" t="e">
        <f t="shared" ca="1" si="24"/>
        <v>#NAME?</v>
      </c>
      <c r="H589" s="24" t="s">
        <v>125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127</v>
      </c>
      <c r="T589" s="119" t="s">
        <v>2029</v>
      </c>
      <c r="U589" s="7" t="s">
        <v>66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2031</v>
      </c>
      <c r="D590" s="7" t="s">
        <v>19</v>
      </c>
      <c r="E590" s="7" t="s">
        <v>66</v>
      </c>
      <c r="F590" s="7" t="s">
        <v>67</v>
      </c>
      <c r="G590" s="7" t="e">
        <f t="shared" ca="1" si="24"/>
        <v>#NAME?</v>
      </c>
      <c r="H590" s="24" t="s">
        <v>134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127</v>
      </c>
      <c r="T590" s="7" t="s">
        <v>2032</v>
      </c>
      <c r="U590" s="7" t="s">
        <v>66</v>
      </c>
      <c r="V590" s="24" t="e">
        <f t="shared" ca="1" si="25"/>
        <v>#NAME?</v>
      </c>
      <c r="W590" s="7"/>
      <c r="X590" s="7"/>
      <c r="Y590" s="29" t="s">
        <v>129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2030</v>
      </c>
      <c r="C591" s="4" t="s">
        <v>2033</v>
      </c>
      <c r="D591" s="7" t="s">
        <v>19</v>
      </c>
      <c r="E591" s="7" t="s">
        <v>66</v>
      </c>
      <c r="F591" s="7" t="s">
        <v>67</v>
      </c>
      <c r="G591" s="7" t="e">
        <f t="shared" ca="1" si="24"/>
        <v>#NAME?</v>
      </c>
      <c r="H591" s="24" t="s">
        <v>134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127</v>
      </c>
      <c r="T591" s="7" t="s">
        <v>2032</v>
      </c>
      <c r="U591" s="7" t="s">
        <v>66</v>
      </c>
      <c r="V591" s="24" t="e">
        <f t="shared" ca="1" si="25"/>
        <v>#NAME?</v>
      </c>
      <c r="W591" s="7"/>
      <c r="X591" s="7"/>
      <c r="Y591" s="29" t="s">
        <v>129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2034</v>
      </c>
      <c r="C592" s="4" t="s">
        <v>2035</v>
      </c>
      <c r="D592" s="7" t="s">
        <v>19</v>
      </c>
      <c r="E592" s="7" t="s">
        <v>20</v>
      </c>
      <c r="F592" s="7" t="s">
        <v>184</v>
      </c>
      <c r="G592" s="7" t="e">
        <f t="shared" ca="1" si="24"/>
        <v>#NAME?</v>
      </c>
      <c r="H592" s="24" t="s">
        <v>134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127</v>
      </c>
      <c r="T592" s="7" t="s">
        <v>2036</v>
      </c>
      <c r="U592" s="7" t="s">
        <v>20</v>
      </c>
      <c r="V592" s="24" t="e">
        <f t="shared" ca="1" si="25"/>
        <v>#NAME?</v>
      </c>
      <c r="W592" s="7"/>
      <c r="X592" s="7" t="s">
        <v>137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2037</v>
      </c>
      <c r="C593" s="4" t="s">
        <v>2038</v>
      </c>
      <c r="D593" s="7" t="s">
        <v>19</v>
      </c>
      <c r="E593" s="7" t="s">
        <v>66</v>
      </c>
      <c r="F593" s="7" t="s">
        <v>2039</v>
      </c>
      <c r="G593" s="7" t="e">
        <f t="shared" ca="1" si="24"/>
        <v>#NAME?</v>
      </c>
      <c r="H593" s="24" t="s">
        <v>145</v>
      </c>
      <c r="I593" s="24" t="s">
        <v>146</v>
      </c>
      <c r="J593" s="7" t="str">
        <f t="shared" si="28"/>
        <v>Não</v>
      </c>
      <c r="K593" s="25">
        <v>45166</v>
      </c>
      <c r="L593" s="25"/>
      <c r="M593" s="7" t="s">
        <v>185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127</v>
      </c>
      <c r="T593" s="7" t="s">
        <v>2040</v>
      </c>
      <c r="U593" s="7" t="s">
        <v>1238</v>
      </c>
      <c r="V593" s="24" t="e">
        <f t="shared" ca="1" si="25"/>
        <v>#NAME?</v>
      </c>
      <c r="W593" s="7"/>
      <c r="X593" s="7"/>
      <c r="Y593" s="29" t="s">
        <v>129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2041</v>
      </c>
      <c r="C594" s="4" t="s">
        <v>2042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145</v>
      </c>
      <c r="I594" s="24" t="s">
        <v>146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2043</v>
      </c>
      <c r="S594" s="7" t="s">
        <v>127</v>
      </c>
      <c r="T594" s="7" t="s">
        <v>2044</v>
      </c>
      <c r="U594" s="7" t="s">
        <v>20</v>
      </c>
      <c r="V594" s="24" t="e">
        <f t="shared" ca="1" si="25"/>
        <v>#NAME?</v>
      </c>
      <c r="W594" s="7"/>
      <c r="X594" s="7"/>
      <c r="Y594" s="29" t="s">
        <v>129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2041</v>
      </c>
      <c r="C595" s="4" t="s">
        <v>2045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145</v>
      </c>
      <c r="I595" s="24" t="s">
        <v>146</v>
      </c>
      <c r="J595" s="7" t="str">
        <f t="shared" si="28"/>
        <v>Não</v>
      </c>
      <c r="K595" s="25">
        <v>45163</v>
      </c>
      <c r="L595" s="25"/>
      <c r="M595" s="7" t="s">
        <v>242</v>
      </c>
      <c r="N595" s="26">
        <v>2.5000000000000001E-2</v>
      </c>
      <c r="O595" s="7" t="s">
        <v>167</v>
      </c>
      <c r="P595" s="27">
        <v>0.2</v>
      </c>
      <c r="Q595" s="90"/>
      <c r="R595" s="28"/>
      <c r="S595" s="7" t="s">
        <v>127</v>
      </c>
      <c r="T595" s="7" t="s">
        <v>2044</v>
      </c>
      <c r="U595" s="7" t="s">
        <v>20</v>
      </c>
      <c r="V595" s="24" t="e">
        <f t="shared" ca="1" si="25"/>
        <v>#NAME?</v>
      </c>
      <c r="W595" s="7"/>
      <c r="X595" s="7"/>
      <c r="Y595" s="29" t="s">
        <v>129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2046</v>
      </c>
      <c r="C596" s="4" t="s">
        <v>2047</v>
      </c>
      <c r="D596" s="7" t="s">
        <v>46</v>
      </c>
      <c r="E596" s="7" t="s">
        <v>20</v>
      </c>
      <c r="F596" s="7" t="s">
        <v>124</v>
      </c>
      <c r="G596" s="7" t="e">
        <f t="shared" ca="1" si="24"/>
        <v>#NAME?</v>
      </c>
      <c r="H596" s="24" t="s">
        <v>125</v>
      </c>
      <c r="I596" s="24" t="s">
        <v>25</v>
      </c>
      <c r="J596" s="7" t="s">
        <v>1135</v>
      </c>
      <c r="K596" s="25">
        <v>45089</v>
      </c>
      <c r="L596" s="25">
        <v>45495</v>
      </c>
      <c r="M596" s="7" t="s">
        <v>2048</v>
      </c>
      <c r="N596" s="26">
        <v>0.01</v>
      </c>
      <c r="O596" s="7" t="s">
        <v>39</v>
      </c>
      <c r="P596" s="27">
        <v>0.1</v>
      </c>
      <c r="Q596" s="90"/>
      <c r="R596" s="28" t="s">
        <v>2049</v>
      </c>
      <c r="S596" s="7" t="s">
        <v>127</v>
      </c>
      <c r="T596" s="7" t="s">
        <v>2050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2051</v>
      </c>
      <c r="C597" s="4" t="s">
        <v>2052</v>
      </c>
      <c r="D597" s="7" t="s">
        <v>19</v>
      </c>
      <c r="E597" s="7" t="s">
        <v>20</v>
      </c>
      <c r="F597" s="7" t="s">
        <v>184</v>
      </c>
      <c r="G597" s="7" t="e">
        <f t="shared" ca="1" si="24"/>
        <v>#NAME?</v>
      </c>
      <c r="H597" s="24" t="s">
        <v>125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127</v>
      </c>
      <c r="T597" s="7" t="s">
        <v>2053</v>
      </c>
      <c r="U597" s="7" t="s">
        <v>2054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2055</v>
      </c>
      <c r="C598" s="4" t="s">
        <v>2056</v>
      </c>
      <c r="D598" s="7" t="s">
        <v>19</v>
      </c>
      <c r="E598" s="7" t="s">
        <v>66</v>
      </c>
      <c r="F598" s="7" t="s">
        <v>144</v>
      </c>
      <c r="G598" s="7" t="e">
        <f t="shared" ca="1" si="24"/>
        <v>#NAME?</v>
      </c>
      <c r="H598" s="24" t="s">
        <v>134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185</v>
      </c>
      <c r="N598" s="26">
        <v>1.4999999999999999E-2</v>
      </c>
      <c r="O598" s="7" t="s">
        <v>39</v>
      </c>
      <c r="P598" s="27">
        <v>0.1</v>
      </c>
      <c r="Q598" s="90" t="s">
        <v>2057</v>
      </c>
      <c r="R598" s="90"/>
      <c r="S598" s="7" t="s">
        <v>127</v>
      </c>
      <c r="T598" s="7" t="s">
        <v>2058</v>
      </c>
      <c r="U598" s="7" t="s">
        <v>66</v>
      </c>
      <c r="V598" s="24" t="e">
        <f t="shared" ca="1" si="25"/>
        <v>#NAME?</v>
      </c>
      <c r="W598" s="7"/>
      <c r="X598" s="7"/>
      <c r="Y598" s="29" t="s">
        <v>129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2059</v>
      </c>
      <c r="C599" s="4" t="s">
        <v>2060</v>
      </c>
      <c r="D599" s="7" t="s">
        <v>19</v>
      </c>
      <c r="E599" s="7" t="s">
        <v>66</v>
      </c>
      <c r="F599" s="7" t="s">
        <v>67</v>
      </c>
      <c r="G599" s="7" t="e">
        <f t="shared" ca="1" si="24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242</v>
      </c>
      <c r="N599" s="10">
        <v>2.5000000000000001E-2</v>
      </c>
      <c r="O599" s="7" t="s">
        <v>167</v>
      </c>
      <c r="P599" s="11">
        <v>0.2</v>
      </c>
      <c r="Q599" s="90"/>
      <c r="R599" s="90"/>
      <c r="S599" s="7" t="s">
        <v>127</v>
      </c>
      <c r="T599" s="7" t="s">
        <v>2061</v>
      </c>
      <c r="U599" s="7" t="s">
        <v>66</v>
      </c>
      <c r="V599" s="24" t="e">
        <f t="shared" ca="1" si="25"/>
        <v>#NAME?</v>
      </c>
      <c r="W599" s="7"/>
      <c r="X599" s="7"/>
      <c r="Y599" s="29" t="s">
        <v>129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2059</v>
      </c>
      <c r="C600" s="4" t="s">
        <v>2062</v>
      </c>
      <c r="D600" s="7" t="s">
        <v>19</v>
      </c>
      <c r="E600" s="7" t="s">
        <v>66</v>
      </c>
      <c r="F600" s="7" t="s">
        <v>67</v>
      </c>
      <c r="G600" s="7" t="e">
        <f t="shared" ca="1" si="24"/>
        <v>#NAME?</v>
      </c>
      <c r="H600" s="24" t="s">
        <v>134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127</v>
      </c>
      <c r="T600" s="7" t="s">
        <v>2061</v>
      </c>
      <c r="U600" s="7" t="s">
        <v>66</v>
      </c>
      <c r="V600" s="24" t="e">
        <f t="shared" ca="1" si="25"/>
        <v>#NAME?</v>
      </c>
      <c r="W600" s="7"/>
      <c r="X600" s="7"/>
      <c r="Y600" s="29" t="s">
        <v>129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2063</v>
      </c>
      <c r="C601" s="4" t="s">
        <v>2064</v>
      </c>
      <c r="D601" s="7" t="s">
        <v>19</v>
      </c>
      <c r="E601" s="7" t="s">
        <v>20</v>
      </c>
      <c r="F601" s="7" t="s">
        <v>720</v>
      </c>
      <c r="G601" s="7" t="e">
        <f t="shared" ca="1" si="24"/>
        <v>#NAME?</v>
      </c>
      <c r="H601" s="24" t="s">
        <v>134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345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127</v>
      </c>
      <c r="T601" s="7" t="s">
        <v>2065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129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2066</v>
      </c>
      <c r="C602" s="4" t="s">
        <v>2067</v>
      </c>
      <c r="D602" s="7" t="s">
        <v>19</v>
      </c>
      <c r="E602" s="7" t="s">
        <v>66</v>
      </c>
      <c r="F602" s="7" t="s">
        <v>265</v>
      </c>
      <c r="G602" s="7" t="e">
        <f t="shared" ca="1" si="24"/>
        <v>#NAME?</v>
      </c>
      <c r="H602" s="24" t="s">
        <v>145</v>
      </c>
      <c r="I602" s="24" t="s">
        <v>146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127</v>
      </c>
      <c r="T602" s="7" t="s">
        <v>2068</v>
      </c>
      <c r="U602" s="7" t="s">
        <v>66</v>
      </c>
      <c r="V602" s="24" t="e">
        <f t="shared" ca="1" si="25"/>
        <v>#NAME?</v>
      </c>
      <c r="W602" s="7"/>
      <c r="X602" s="7"/>
      <c r="Y602" s="29" t="s">
        <v>240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2069</v>
      </c>
      <c r="C603" s="49" t="s">
        <v>2070</v>
      </c>
      <c r="D603" s="7" t="s">
        <v>19</v>
      </c>
      <c r="E603" s="7" t="s">
        <v>66</v>
      </c>
      <c r="F603" s="7" t="s">
        <v>265</v>
      </c>
      <c r="G603" s="7" t="e">
        <f t="shared" ca="1" si="24"/>
        <v>#NAME?</v>
      </c>
      <c r="H603" s="24" t="s">
        <v>125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127</v>
      </c>
      <c r="T603" s="7" t="s">
        <v>2068</v>
      </c>
      <c r="U603" s="7" t="s">
        <v>66</v>
      </c>
      <c r="V603" s="24" t="e">
        <f t="shared" ca="1" si="25"/>
        <v>#NAME?</v>
      </c>
      <c r="W603" s="7"/>
      <c r="X603" s="7"/>
      <c r="Y603" s="29" t="s">
        <v>240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2071</v>
      </c>
      <c r="C604" s="49" t="s">
        <v>2072</v>
      </c>
      <c r="D604" s="7" t="s">
        <v>19</v>
      </c>
      <c r="E604" s="7" t="s">
        <v>66</v>
      </c>
      <c r="F604" s="7" t="s">
        <v>67</v>
      </c>
      <c r="G604" s="7" t="e">
        <f t="shared" ca="1" si="24"/>
        <v>#NAME?</v>
      </c>
      <c r="H604" s="24" t="s">
        <v>134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2073</v>
      </c>
      <c r="R604" s="90"/>
      <c r="S604" s="7" t="s">
        <v>127</v>
      </c>
      <c r="T604" s="7" t="s">
        <v>2074</v>
      </c>
      <c r="U604" s="7" t="s">
        <v>66</v>
      </c>
      <c r="V604" s="24" t="e">
        <f t="shared" ca="1" si="25"/>
        <v>#NAME?</v>
      </c>
      <c r="W604" s="7"/>
      <c r="X604" s="7" t="s">
        <v>42</v>
      </c>
      <c r="Y604" s="29" t="s">
        <v>129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2075</v>
      </c>
      <c r="C605" s="141" t="s">
        <v>2076</v>
      </c>
      <c r="D605" s="7" t="s">
        <v>19</v>
      </c>
      <c r="E605" s="7" t="s">
        <v>66</v>
      </c>
      <c r="F605" s="7" t="s">
        <v>316</v>
      </c>
      <c r="G605" s="7" t="e">
        <f t="shared" ca="1" si="24"/>
        <v>#NAME?</v>
      </c>
      <c r="H605" s="24" t="s">
        <v>145</v>
      </c>
      <c r="I605" s="24" t="s">
        <v>208</v>
      </c>
      <c r="J605" s="7" t="str">
        <f t="shared" si="29"/>
        <v>Não</v>
      </c>
      <c r="K605" s="25">
        <v>45163</v>
      </c>
      <c r="L605" s="25"/>
      <c r="M605" s="7" t="s">
        <v>185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127</v>
      </c>
      <c r="T605" s="7" t="s">
        <v>2077</v>
      </c>
      <c r="U605" s="7" t="s">
        <v>66</v>
      </c>
      <c r="V605" s="24" t="e">
        <f t="shared" ca="1" si="25"/>
        <v>#NAME?</v>
      </c>
      <c r="W605" s="7"/>
      <c r="X605" s="7"/>
      <c r="Y605" s="29" t="s">
        <v>129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2078</v>
      </c>
      <c r="C606" s="4" t="s">
        <v>2079</v>
      </c>
      <c r="D606" s="7" t="s">
        <v>19</v>
      </c>
      <c r="E606" s="7" t="s">
        <v>35</v>
      </c>
      <c r="F606" s="7" t="s">
        <v>250</v>
      </c>
      <c r="G606" s="7" t="e">
        <f t="shared" ca="1" si="24"/>
        <v>#NAME?</v>
      </c>
      <c r="H606" s="24" t="s">
        <v>134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242</v>
      </c>
      <c r="N606" s="26">
        <v>2.5000000000000001E-2</v>
      </c>
      <c r="O606" s="7" t="s">
        <v>167</v>
      </c>
      <c r="P606" s="27">
        <v>0.2</v>
      </c>
      <c r="Q606" s="90"/>
      <c r="R606" s="90"/>
      <c r="S606" s="7" t="s">
        <v>127</v>
      </c>
      <c r="T606" s="7" t="s">
        <v>2080</v>
      </c>
      <c r="U606" s="7" t="s">
        <v>202</v>
      </c>
      <c r="V606" s="24" t="e">
        <f t="shared" ca="1" si="25"/>
        <v>#NAME?</v>
      </c>
      <c r="W606" s="7"/>
      <c r="X606" s="7"/>
      <c r="Y606" s="29" t="s">
        <v>129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2081</v>
      </c>
      <c r="C607" s="4" t="s">
        <v>2082</v>
      </c>
      <c r="D607" s="7" t="s">
        <v>19</v>
      </c>
      <c r="E607" s="7" t="s">
        <v>20</v>
      </c>
      <c r="F607" s="7" t="s">
        <v>720</v>
      </c>
      <c r="G607" s="7" t="e">
        <f t="shared" ca="1" si="24"/>
        <v>#NAME?</v>
      </c>
      <c r="H607" s="24" t="s">
        <v>134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345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127</v>
      </c>
      <c r="T607" s="7" t="s">
        <v>2083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129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2084</v>
      </c>
      <c r="C608" s="60" t="s">
        <v>2085</v>
      </c>
      <c r="D608" s="7" t="s">
        <v>19</v>
      </c>
      <c r="E608" s="7" t="s">
        <v>20</v>
      </c>
      <c r="F608" s="7" t="s">
        <v>184</v>
      </c>
      <c r="G608" s="7" t="e">
        <f t="shared" ca="1" si="24"/>
        <v>#NAME?</v>
      </c>
      <c r="H608" s="24" t="s">
        <v>134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127</v>
      </c>
      <c r="T608" s="7" t="s">
        <v>2086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2087</v>
      </c>
      <c r="C609" s="39" t="s">
        <v>2088</v>
      </c>
      <c r="D609" s="7" t="s">
        <v>19</v>
      </c>
      <c r="E609" s="7" t="s">
        <v>66</v>
      </c>
      <c r="F609" s="7" t="s">
        <v>67</v>
      </c>
      <c r="G609" s="7" t="e">
        <f t="shared" ca="1" si="24"/>
        <v>#NAME?</v>
      </c>
      <c r="H609" s="24" t="s">
        <v>134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2089</v>
      </c>
      <c r="R609" s="90"/>
      <c r="S609" s="7" t="s">
        <v>127</v>
      </c>
      <c r="T609" s="7" t="s">
        <v>2090</v>
      </c>
      <c r="U609" s="7" t="s">
        <v>66</v>
      </c>
      <c r="V609" s="24" t="e">
        <f t="shared" ca="1" si="25"/>
        <v>#NAME?</v>
      </c>
      <c r="W609" s="7"/>
      <c r="X609" s="7" t="s">
        <v>42</v>
      </c>
      <c r="Y609" s="29" t="s">
        <v>129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2091</v>
      </c>
      <c r="C610" s="39" t="s">
        <v>2092</v>
      </c>
      <c r="D610" s="7" t="s">
        <v>55</v>
      </c>
      <c r="E610" s="7" t="s">
        <v>20</v>
      </c>
      <c r="F610" s="7" t="s">
        <v>325</v>
      </c>
      <c r="G610" s="7" t="e">
        <f t="shared" ca="1" si="24"/>
        <v>#NAME?</v>
      </c>
      <c r="H610" s="24" t="s">
        <v>134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127</v>
      </c>
      <c r="T610" s="7" t="s">
        <v>2093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129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2094</v>
      </c>
      <c r="C611" s="4" t="s">
        <v>2095</v>
      </c>
      <c r="D611" s="7" t="s">
        <v>19</v>
      </c>
      <c r="E611" s="7" t="s">
        <v>66</v>
      </c>
      <c r="F611" s="7" t="s">
        <v>265</v>
      </c>
      <c r="G611" s="7" t="e">
        <f t="shared" ca="1" si="24"/>
        <v>#NAME?</v>
      </c>
      <c r="H611" s="24" t="s">
        <v>134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127</v>
      </c>
      <c r="T611" s="7" t="s">
        <v>2096</v>
      </c>
      <c r="U611" s="7" t="s">
        <v>66</v>
      </c>
      <c r="V611" s="24" t="e">
        <f t="shared" ca="1" si="25"/>
        <v>#NAME?</v>
      </c>
      <c r="W611" s="7"/>
      <c r="X611" s="7"/>
      <c r="Y611" s="29" t="s">
        <v>240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2097</v>
      </c>
      <c r="C612" s="4" t="s">
        <v>2098</v>
      </c>
      <c r="D612" s="7" t="s">
        <v>19</v>
      </c>
      <c r="E612" s="7" t="s">
        <v>66</v>
      </c>
      <c r="F612" s="7" t="s">
        <v>265</v>
      </c>
      <c r="G612" s="7" t="e">
        <f t="shared" ca="1" si="24"/>
        <v>#NAME?</v>
      </c>
      <c r="H612" s="24" t="s">
        <v>150</v>
      </c>
      <c r="I612" s="24" t="s">
        <v>208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171</v>
      </c>
      <c r="T612" s="7" t="s">
        <v>2099</v>
      </c>
      <c r="U612" s="7" t="s">
        <v>66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2100</v>
      </c>
      <c r="C613" s="44" t="s">
        <v>2101</v>
      </c>
      <c r="D613" s="7" t="s">
        <v>34</v>
      </c>
      <c r="E613" s="7" t="s">
        <v>35</v>
      </c>
      <c r="F613" s="7" t="s">
        <v>2102</v>
      </c>
      <c r="G613" s="7" t="e">
        <f t="shared" ca="1" si="24"/>
        <v>#NAME?</v>
      </c>
      <c r="H613" s="24" t="s">
        <v>134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185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127</v>
      </c>
      <c r="T613" s="12" t="s">
        <v>2103</v>
      </c>
      <c r="U613" s="7" t="s">
        <v>41</v>
      </c>
      <c r="V613" s="24" t="e">
        <f t="shared" ca="1" si="25"/>
        <v>#NAME?</v>
      </c>
      <c r="W613" s="7"/>
      <c r="X613" s="7" t="s">
        <v>152</v>
      </c>
      <c r="Y613" s="29" t="s">
        <v>129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2100</v>
      </c>
      <c r="C614" s="44" t="s">
        <v>2104</v>
      </c>
      <c r="D614" s="7" t="s">
        <v>34</v>
      </c>
      <c r="E614" s="7" t="s">
        <v>35</v>
      </c>
      <c r="F614" s="7" t="s">
        <v>2102</v>
      </c>
      <c r="G614" s="7" t="e">
        <f t="shared" ca="1" si="24"/>
        <v>#NAME?</v>
      </c>
      <c r="H614" s="24" t="s">
        <v>134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185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127</v>
      </c>
      <c r="T614" s="12" t="s">
        <v>2103</v>
      </c>
      <c r="U614" s="7" t="s">
        <v>41</v>
      </c>
      <c r="V614" s="24" t="e">
        <f t="shared" ca="1" si="25"/>
        <v>#NAME?</v>
      </c>
      <c r="W614" s="7"/>
      <c r="X614" s="7" t="s">
        <v>152</v>
      </c>
      <c r="Y614" s="29" t="s">
        <v>129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2105</v>
      </c>
      <c r="C615" s="44" t="s">
        <v>2106</v>
      </c>
      <c r="D615" s="7" t="s">
        <v>19</v>
      </c>
      <c r="E615" s="7" t="s">
        <v>35</v>
      </c>
      <c r="F615" s="7" t="s">
        <v>199</v>
      </c>
      <c r="G615" s="7" t="e">
        <f t="shared" ca="1" si="24"/>
        <v>#NAME?</v>
      </c>
      <c r="H615" s="24" t="s">
        <v>134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2107</v>
      </c>
      <c r="R615" s="90"/>
      <c r="S615" s="7" t="s">
        <v>127</v>
      </c>
      <c r="T615" s="12" t="s">
        <v>2108</v>
      </c>
      <c r="U615" s="7" t="s">
        <v>202</v>
      </c>
      <c r="V615" s="24" t="e">
        <f t="shared" ca="1" si="25"/>
        <v>#NAME?</v>
      </c>
      <c r="W615" s="7"/>
      <c r="X615" s="7" t="s">
        <v>42</v>
      </c>
      <c r="Y615" s="29" t="s">
        <v>240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2109</v>
      </c>
      <c r="C616" s="44" t="s">
        <v>2110</v>
      </c>
      <c r="D616" s="7" t="s">
        <v>19</v>
      </c>
      <c r="E616" s="7" t="s">
        <v>20</v>
      </c>
      <c r="F616" s="7" t="s">
        <v>184</v>
      </c>
      <c r="G616" s="7" t="e">
        <f t="shared" ca="1" si="24"/>
        <v>#NAME?</v>
      </c>
      <c r="H616" s="24" t="s">
        <v>134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454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171</v>
      </c>
      <c r="T616" s="12" t="s">
        <v>2111</v>
      </c>
      <c r="U616" s="7" t="s">
        <v>20</v>
      </c>
      <c r="V616" s="24" t="e">
        <f t="shared" ca="1" si="25"/>
        <v>#NAME?</v>
      </c>
      <c r="W616" s="7"/>
      <c r="X616" s="7" t="s">
        <v>137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2112</v>
      </c>
      <c r="C617" s="4" t="s">
        <v>2113</v>
      </c>
      <c r="D617" s="7" t="s">
        <v>19</v>
      </c>
      <c r="E617" s="7" t="s">
        <v>20</v>
      </c>
      <c r="F617" s="7" t="s">
        <v>184</v>
      </c>
      <c r="G617" s="7" t="e">
        <f t="shared" ca="1" si="24"/>
        <v>#NAME?</v>
      </c>
      <c r="H617" s="24" t="s">
        <v>134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127</v>
      </c>
      <c r="T617" s="7" t="s">
        <v>2114</v>
      </c>
      <c r="U617" s="7" t="s">
        <v>20</v>
      </c>
      <c r="V617" s="24" t="e">
        <f t="shared" ca="1" si="25"/>
        <v>#NAME?</v>
      </c>
      <c r="W617" s="7"/>
      <c r="X617" s="7"/>
      <c r="Y617" s="29" t="s">
        <v>129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2115</v>
      </c>
      <c r="C618" s="4" t="s">
        <v>2116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134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242</v>
      </c>
      <c r="N618" s="26">
        <v>2.5000000000000001E-2</v>
      </c>
      <c r="O618" s="7" t="s">
        <v>167</v>
      </c>
      <c r="P618" s="27">
        <v>0.2</v>
      </c>
      <c r="Q618" s="28"/>
      <c r="R618" s="28"/>
      <c r="S618" s="7" t="s">
        <v>127</v>
      </c>
      <c r="T618" s="7" t="s">
        <v>2117</v>
      </c>
      <c r="U618" s="7" t="s">
        <v>20</v>
      </c>
      <c r="V618" s="24" t="e">
        <f t="shared" ca="1" si="25"/>
        <v>#NAME?</v>
      </c>
      <c r="W618" s="7"/>
      <c r="X618" s="7"/>
      <c r="Y618" s="29" t="s">
        <v>129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2118</v>
      </c>
      <c r="C619" s="4" t="s">
        <v>2119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134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2120</v>
      </c>
      <c r="R619" s="28"/>
      <c r="S619" s="7" t="s">
        <v>127</v>
      </c>
      <c r="T619" s="7" t="s">
        <v>2117</v>
      </c>
      <c r="U619" s="7" t="s">
        <v>20</v>
      </c>
      <c r="V619" s="24" t="e">
        <f t="shared" ca="1" si="25"/>
        <v>#NAME?</v>
      </c>
      <c r="W619" s="7"/>
      <c r="X619" s="7"/>
      <c r="Y619" s="29" t="s">
        <v>129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2121</v>
      </c>
      <c r="C620" s="4" t="s">
        <v>2122</v>
      </c>
      <c r="D620" s="7" t="s">
        <v>19</v>
      </c>
      <c r="E620" s="7" t="s">
        <v>66</v>
      </c>
      <c r="F620" s="7" t="s">
        <v>316</v>
      </c>
      <c r="G620" s="7" t="e">
        <f t="shared" ca="1" si="24"/>
        <v>#NAME?</v>
      </c>
      <c r="H620" s="24" t="s">
        <v>134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2123</v>
      </c>
      <c r="R620" s="90"/>
      <c r="S620" s="7" t="s">
        <v>171</v>
      </c>
      <c r="T620" s="7" t="s">
        <v>2124</v>
      </c>
      <c r="U620" s="7" t="s">
        <v>66</v>
      </c>
      <c r="V620" s="24" t="e">
        <f t="shared" ca="1" si="25"/>
        <v>#NAME?</v>
      </c>
      <c r="W620" s="7"/>
      <c r="X620" s="7"/>
      <c r="Y620" s="29" t="s">
        <v>240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2125</v>
      </c>
      <c r="C621" s="4" t="s">
        <v>2126</v>
      </c>
      <c r="D621" s="7" t="s">
        <v>19</v>
      </c>
      <c r="E621" s="7" t="s">
        <v>66</v>
      </c>
      <c r="F621" s="7" t="s">
        <v>144</v>
      </c>
      <c r="G621" s="7" t="e">
        <f t="shared" ca="1" si="24"/>
        <v>#NAME?</v>
      </c>
      <c r="H621" s="24" t="s">
        <v>145</v>
      </c>
      <c r="I621" s="24" t="s">
        <v>146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127</v>
      </c>
      <c r="T621" s="7" t="s">
        <v>2127</v>
      </c>
      <c r="U621" s="7" t="s">
        <v>66</v>
      </c>
      <c r="V621" s="24" t="e">
        <f t="shared" ca="1" si="25"/>
        <v>#NAME?</v>
      </c>
      <c r="W621" s="7"/>
      <c r="X621" s="7"/>
      <c r="Y621" s="29" t="s">
        <v>129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2128</v>
      </c>
      <c r="C622" s="44" t="s">
        <v>2129</v>
      </c>
      <c r="D622" s="7" t="s">
        <v>71</v>
      </c>
      <c r="E622" s="7" t="s">
        <v>66</v>
      </c>
      <c r="F622" s="7" t="s">
        <v>72</v>
      </c>
      <c r="G622" s="7" t="e">
        <f t="shared" ca="1" si="24"/>
        <v>#NAME?</v>
      </c>
      <c r="H622" s="24" t="s">
        <v>134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2130</v>
      </c>
      <c r="R622" s="28"/>
      <c r="S622" s="7" t="s">
        <v>171</v>
      </c>
      <c r="T622" s="6" t="s">
        <v>2131</v>
      </c>
      <c r="U622" s="7" t="s">
        <v>66</v>
      </c>
      <c r="V622" s="24" t="e">
        <f t="shared" ca="1" si="25"/>
        <v>#NAME?</v>
      </c>
      <c r="W622" s="7"/>
      <c r="X622" s="7"/>
      <c r="Y622" s="29" t="s">
        <v>129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2132</v>
      </c>
      <c r="C623" s="4" t="s">
        <v>2133</v>
      </c>
      <c r="D623" s="7" t="s">
        <v>19</v>
      </c>
      <c r="E623" s="7" t="s">
        <v>35</v>
      </c>
      <c r="F623" s="7" t="s">
        <v>199</v>
      </c>
      <c r="G623" s="7" t="e">
        <f t="shared" ca="1" si="24"/>
        <v>#NAME?</v>
      </c>
      <c r="H623" s="24" t="s">
        <v>134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2134</v>
      </c>
      <c r="S623" s="7" t="s">
        <v>127</v>
      </c>
      <c r="T623" s="7" t="s">
        <v>2135</v>
      </c>
      <c r="U623" s="7" t="s">
        <v>202</v>
      </c>
      <c r="V623" s="24" t="e">
        <f t="shared" ca="1" si="25"/>
        <v>#NAME?</v>
      </c>
      <c r="W623" s="7"/>
      <c r="X623" s="7"/>
      <c r="Y623" s="29" t="s">
        <v>129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2136</v>
      </c>
      <c r="C624" s="4" t="s">
        <v>2137</v>
      </c>
      <c r="D624" s="7" t="s">
        <v>19</v>
      </c>
      <c r="E624" s="7" t="s">
        <v>35</v>
      </c>
      <c r="F624" s="7" t="s">
        <v>199</v>
      </c>
      <c r="G624" s="7" t="e">
        <f t="shared" ca="1" si="24"/>
        <v>#NAME?</v>
      </c>
      <c r="H624" s="24" t="s">
        <v>145</v>
      </c>
      <c r="I624" s="24" t="s">
        <v>146</v>
      </c>
      <c r="J624" s="7" t="str">
        <f t="shared" si="29"/>
        <v>Não</v>
      </c>
      <c r="K624" s="25">
        <v>45127</v>
      </c>
      <c r="L624" s="25"/>
      <c r="M624" s="7" t="s">
        <v>242</v>
      </c>
      <c r="N624" s="26">
        <v>2.5000000000000001E-2</v>
      </c>
      <c r="O624" s="7" t="s">
        <v>167</v>
      </c>
      <c r="P624" s="27">
        <v>0.2</v>
      </c>
      <c r="Q624" s="28"/>
      <c r="R624" s="90"/>
      <c r="S624" s="7" t="s">
        <v>127</v>
      </c>
      <c r="T624" s="7" t="s">
        <v>2138</v>
      </c>
      <c r="U624" s="7" t="s">
        <v>202</v>
      </c>
      <c r="V624" s="24" t="e">
        <f t="shared" ca="1" si="25"/>
        <v>#NAME?</v>
      </c>
      <c r="W624" s="7"/>
      <c r="X624" s="7"/>
      <c r="Y624" s="29" t="s">
        <v>129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2136</v>
      </c>
      <c r="C625" s="4" t="s">
        <v>2139</v>
      </c>
      <c r="D625" s="7" t="s">
        <v>19</v>
      </c>
      <c r="E625" s="7" t="s">
        <v>35</v>
      </c>
      <c r="F625" s="7" t="s">
        <v>199</v>
      </c>
      <c r="G625" s="7" t="e">
        <f t="shared" ca="1" si="24"/>
        <v>#NAME?</v>
      </c>
      <c r="H625" s="24" t="s">
        <v>134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127</v>
      </c>
      <c r="T625" s="7" t="s">
        <v>2138</v>
      </c>
      <c r="U625" s="7" t="s">
        <v>202</v>
      </c>
      <c r="V625" s="24" t="e">
        <f t="shared" ca="1" si="25"/>
        <v>#NAME?</v>
      </c>
      <c r="W625" s="7"/>
      <c r="X625" s="7"/>
      <c r="Y625" s="29" t="s">
        <v>129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2140</v>
      </c>
      <c r="C626" s="4" t="s">
        <v>2141</v>
      </c>
      <c r="D626" s="7" t="s">
        <v>19</v>
      </c>
      <c r="E626" s="7" t="s">
        <v>20</v>
      </c>
      <c r="F626" s="7" t="s">
        <v>360</v>
      </c>
      <c r="G626" s="7" t="e">
        <f t="shared" ca="1" si="24"/>
        <v>#NAME?</v>
      </c>
      <c r="H626" s="24" t="s">
        <v>145</v>
      </c>
      <c r="I626" s="24" t="s">
        <v>229</v>
      </c>
      <c r="J626" s="7" t="str">
        <f t="shared" si="29"/>
        <v>Sim</v>
      </c>
      <c r="K626" s="25">
        <v>45449</v>
      </c>
      <c r="L626" s="7"/>
      <c r="M626" s="127" t="s">
        <v>2142</v>
      </c>
      <c r="N626" s="128">
        <v>1.0999999999999999E-2</v>
      </c>
      <c r="O626" s="129" t="s">
        <v>39</v>
      </c>
      <c r="P626" s="130">
        <v>0.1</v>
      </c>
      <c r="Q626" s="28" t="s">
        <v>2143</v>
      </c>
      <c r="R626" s="90"/>
      <c r="S626" s="7" t="s">
        <v>127</v>
      </c>
      <c r="T626" s="7" t="s">
        <v>2144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129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2145</v>
      </c>
      <c r="C627" s="4" t="s">
        <v>2146</v>
      </c>
      <c r="D627" s="7" t="s">
        <v>19</v>
      </c>
      <c r="E627" s="7" t="s">
        <v>66</v>
      </c>
      <c r="F627" s="7" t="s">
        <v>144</v>
      </c>
      <c r="G627" s="7" t="e">
        <f t="shared" ca="1" si="24"/>
        <v>#NAME?</v>
      </c>
      <c r="H627" s="24" t="s">
        <v>134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175</v>
      </c>
      <c r="N627" s="26">
        <v>1.2E-2</v>
      </c>
      <c r="O627" s="7" t="s">
        <v>39</v>
      </c>
      <c r="P627" s="27">
        <v>0.1</v>
      </c>
      <c r="Q627" s="28" t="s">
        <v>2147</v>
      </c>
      <c r="R627" s="177" t="s">
        <v>2148</v>
      </c>
      <c r="S627" s="7" t="s">
        <v>127</v>
      </c>
      <c r="T627" s="7" t="s">
        <v>2149</v>
      </c>
      <c r="U627" s="7" t="s">
        <v>66</v>
      </c>
      <c r="V627" s="24" t="e">
        <f t="shared" ca="1" si="25"/>
        <v>#NAME?</v>
      </c>
      <c r="W627" s="7"/>
      <c r="X627" s="7"/>
      <c r="Y627" s="29" t="s">
        <v>129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2150</v>
      </c>
      <c r="C628" s="4" t="s">
        <v>2151</v>
      </c>
      <c r="D628" s="7" t="s">
        <v>19</v>
      </c>
      <c r="E628" s="7" t="s">
        <v>20</v>
      </c>
      <c r="F628" s="7" t="s">
        <v>360</v>
      </c>
      <c r="G628" s="7" t="e">
        <f t="shared" ca="1" si="24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127</v>
      </c>
      <c r="T628" s="7" t="s">
        <v>2152</v>
      </c>
      <c r="U628" s="7" t="s">
        <v>20</v>
      </c>
      <c r="V628" s="24" t="e">
        <f t="shared" ca="1" si="25"/>
        <v>#NAME?</v>
      </c>
      <c r="W628" s="7"/>
      <c r="X628" s="7"/>
      <c r="Y628" s="29" t="s">
        <v>129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2153</v>
      </c>
      <c r="C629" s="4" t="s">
        <v>2154</v>
      </c>
      <c r="D629" s="7" t="s">
        <v>19</v>
      </c>
      <c r="E629" s="7" t="s">
        <v>66</v>
      </c>
      <c r="F629" s="7" t="s">
        <v>265</v>
      </c>
      <c r="G629" s="7" t="e">
        <f t="shared" ca="1" si="24"/>
        <v>#NAME?</v>
      </c>
      <c r="H629" s="24" t="s">
        <v>145</v>
      </c>
      <c r="I629" s="24" t="s">
        <v>146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127</v>
      </c>
      <c r="T629" s="7" t="s">
        <v>2155</v>
      </c>
      <c r="U629" s="7" t="s">
        <v>66</v>
      </c>
      <c r="V629" s="24" t="e">
        <f t="shared" ca="1" si="25"/>
        <v>#NAME?</v>
      </c>
      <c r="W629" s="7"/>
      <c r="X629" s="7"/>
      <c r="Y629" s="29" t="s">
        <v>129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2153</v>
      </c>
      <c r="C630" s="4" t="s">
        <v>2156</v>
      </c>
      <c r="D630" s="7" t="s">
        <v>19</v>
      </c>
      <c r="E630" s="7" t="s">
        <v>66</v>
      </c>
      <c r="F630" s="7" t="s">
        <v>265</v>
      </c>
      <c r="G630" s="7" t="e">
        <f t="shared" ca="1" si="24"/>
        <v>#NAME?</v>
      </c>
      <c r="H630" s="24" t="s">
        <v>145</v>
      </c>
      <c r="I630" s="24" t="s">
        <v>146</v>
      </c>
      <c r="J630" s="7" t="str">
        <f t="shared" si="29"/>
        <v>Não</v>
      </c>
      <c r="K630" s="25">
        <v>45163</v>
      </c>
      <c r="L630" s="25"/>
      <c r="M630" s="7" t="s">
        <v>185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127</v>
      </c>
      <c r="T630" s="7" t="s">
        <v>2155</v>
      </c>
      <c r="U630" s="7" t="s">
        <v>66</v>
      </c>
      <c r="V630" s="24" t="e">
        <f t="shared" ca="1" si="25"/>
        <v>#NAME?</v>
      </c>
      <c r="W630" s="7"/>
      <c r="X630" s="7"/>
      <c r="Y630" s="29" t="s">
        <v>129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2157</v>
      </c>
      <c r="C631" s="4" t="s">
        <v>2158</v>
      </c>
      <c r="D631" s="7" t="s">
        <v>19</v>
      </c>
      <c r="E631" s="7" t="s">
        <v>35</v>
      </c>
      <c r="F631" s="7" t="s">
        <v>199</v>
      </c>
      <c r="G631" s="7" t="e">
        <f t="shared" ca="1" si="24"/>
        <v>#NAME?</v>
      </c>
      <c r="H631" s="24" t="s">
        <v>134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185</v>
      </c>
      <c r="N631" s="26">
        <v>1.4999999999999999E-2</v>
      </c>
      <c r="O631" s="7" t="s">
        <v>39</v>
      </c>
      <c r="P631" s="27">
        <v>0.1</v>
      </c>
      <c r="Q631" s="23"/>
      <c r="R631" s="28" t="s">
        <v>2159</v>
      </c>
      <c r="S631" s="7" t="s">
        <v>127</v>
      </c>
      <c r="T631" s="7" t="s">
        <v>2160</v>
      </c>
      <c r="U631" s="7" t="s">
        <v>202</v>
      </c>
      <c r="V631" s="24" t="e">
        <f t="shared" ca="1" si="25"/>
        <v>#NAME?</v>
      </c>
      <c r="W631" s="7"/>
      <c r="X631" s="7"/>
      <c r="Y631" s="29" t="s">
        <v>129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2161</v>
      </c>
      <c r="C632" s="4" t="s">
        <v>2162</v>
      </c>
      <c r="D632" s="7" t="s">
        <v>19</v>
      </c>
      <c r="E632" s="7" t="s">
        <v>35</v>
      </c>
      <c r="F632" s="7" t="s">
        <v>199</v>
      </c>
      <c r="G632" s="7" t="e">
        <f t="shared" ca="1" si="24"/>
        <v>#NAME?</v>
      </c>
      <c r="H632" s="24" t="s">
        <v>125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127</v>
      </c>
      <c r="T632" s="7" t="s">
        <v>2160</v>
      </c>
      <c r="U632" s="7" t="s">
        <v>202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2163</v>
      </c>
      <c r="C633" s="44" t="s">
        <v>2164</v>
      </c>
      <c r="D633" s="7" t="s">
        <v>46</v>
      </c>
      <c r="E633" s="7" t="s">
        <v>20</v>
      </c>
      <c r="F633" s="7" t="s">
        <v>124</v>
      </c>
      <c r="G633" s="7" t="e">
        <f t="shared" ca="1" si="24"/>
        <v>#NAME?</v>
      </c>
      <c r="H633" s="24" t="s">
        <v>125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127</v>
      </c>
      <c r="T633" s="7" t="s">
        <v>2165</v>
      </c>
      <c r="U633" s="7" t="s">
        <v>20</v>
      </c>
      <c r="V633" s="24" t="e">
        <f t="shared" ca="1" si="25"/>
        <v>#NAME?</v>
      </c>
      <c r="W633" s="7"/>
      <c r="X633" s="7"/>
      <c r="Y633" s="29" t="s">
        <v>240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2166</v>
      </c>
      <c r="C634" s="39" t="s">
        <v>2167</v>
      </c>
      <c r="D634" s="7" t="s">
        <v>19</v>
      </c>
      <c r="E634" s="7" t="s">
        <v>20</v>
      </c>
      <c r="F634" s="7" t="s">
        <v>184</v>
      </c>
      <c r="G634" s="7" t="e">
        <f t="shared" ca="1" si="24"/>
        <v>#NAME?</v>
      </c>
      <c r="H634" s="24" t="s">
        <v>134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127</v>
      </c>
      <c r="T634" s="7" t="s">
        <v>2168</v>
      </c>
      <c r="U634" s="7" t="s">
        <v>20</v>
      </c>
      <c r="V634" s="24" t="e">
        <f t="shared" ca="1" si="25"/>
        <v>#NAME?</v>
      </c>
      <c r="W634" s="7"/>
      <c r="X634" s="7" t="s">
        <v>152</v>
      </c>
      <c r="Y634" s="29" t="s">
        <v>129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2169</v>
      </c>
      <c r="C635" s="44" t="s">
        <v>2170</v>
      </c>
      <c r="D635" s="7" t="s">
        <v>19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134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127</v>
      </c>
      <c r="T635" s="7" t="s">
        <v>2171</v>
      </c>
      <c r="U635" s="7" t="s">
        <v>20</v>
      </c>
      <c r="V635" s="24" t="e">
        <f t="shared" ca="1" si="25"/>
        <v>#NAME?</v>
      </c>
      <c r="W635" s="7"/>
      <c r="X635" s="7"/>
      <c r="Y635" s="29" t="s">
        <v>129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2172</v>
      </c>
      <c r="C636" s="4" t="s">
        <v>2173</v>
      </c>
      <c r="D636" s="7" t="s">
        <v>19</v>
      </c>
      <c r="E636" s="7" t="s">
        <v>66</v>
      </c>
      <c r="F636" s="7" t="s">
        <v>67</v>
      </c>
      <c r="G636" s="7" t="e">
        <f t="shared" ca="1" si="24"/>
        <v>#NAME?</v>
      </c>
      <c r="H636" s="24" t="s">
        <v>145</v>
      </c>
      <c r="I636" s="24" t="s">
        <v>146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127</v>
      </c>
      <c r="T636" s="7" t="s">
        <v>2174</v>
      </c>
      <c r="U636" s="7" t="s">
        <v>66</v>
      </c>
      <c r="V636" s="24" t="e">
        <f t="shared" ca="1" si="25"/>
        <v>#NAME?</v>
      </c>
      <c r="W636" s="7"/>
      <c r="X636" s="7"/>
      <c r="Y636" s="29" t="s">
        <v>129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2175</v>
      </c>
      <c r="C637" s="4" t="s">
        <v>2176</v>
      </c>
      <c r="D637" s="7" t="s">
        <v>71</v>
      </c>
      <c r="E637" s="7" t="s">
        <v>66</v>
      </c>
      <c r="F637" s="7" t="s">
        <v>72</v>
      </c>
      <c r="G637" s="7" t="e">
        <f t="shared" ca="1" si="24"/>
        <v>#NAME?</v>
      </c>
      <c r="H637" s="24" t="s">
        <v>134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127</v>
      </c>
      <c r="T637" s="7" t="s">
        <v>2177</v>
      </c>
      <c r="U637" s="7" t="s">
        <v>66</v>
      </c>
      <c r="V637" s="24" t="e">
        <f t="shared" ca="1" si="25"/>
        <v>#NAME?</v>
      </c>
      <c r="W637" s="7"/>
      <c r="X637" s="7" t="s">
        <v>42</v>
      </c>
      <c r="Y637" s="29" t="s">
        <v>129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2178</v>
      </c>
      <c r="C638" s="4" t="s">
        <v>2179</v>
      </c>
      <c r="D638" s="7" t="s">
        <v>46</v>
      </c>
      <c r="E638" s="7" t="s">
        <v>20</v>
      </c>
      <c r="F638" s="7" t="s">
        <v>124</v>
      </c>
      <c r="G638" s="7" t="e">
        <f t="shared" ca="1" si="24"/>
        <v>#NAME?</v>
      </c>
      <c r="H638" s="24" t="s">
        <v>145</v>
      </c>
      <c r="I638" s="24" t="s">
        <v>229</v>
      </c>
      <c r="J638" s="7" t="str">
        <f t="shared" si="29"/>
        <v>Não</v>
      </c>
      <c r="K638" s="25">
        <v>45117</v>
      </c>
      <c r="L638" s="7"/>
      <c r="M638" s="7" t="s">
        <v>345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127</v>
      </c>
      <c r="T638" s="7" t="s">
        <v>2180</v>
      </c>
      <c r="U638" s="7" t="s">
        <v>878</v>
      </c>
      <c r="V638" s="24" t="e">
        <f t="shared" ca="1" si="25"/>
        <v>#NAME?</v>
      </c>
      <c r="W638" s="7"/>
      <c r="X638" s="7"/>
      <c r="Y638" s="29" t="s">
        <v>240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2181</v>
      </c>
      <c r="C639" s="41" t="s">
        <v>2182</v>
      </c>
      <c r="D639" s="7" t="s">
        <v>19</v>
      </c>
      <c r="E639" s="7" t="s">
        <v>35</v>
      </c>
      <c r="F639" s="7" t="s">
        <v>250</v>
      </c>
      <c r="G639" s="7" t="e">
        <f t="shared" ca="1" si="24"/>
        <v>#NAME?</v>
      </c>
      <c r="H639" s="24" t="s">
        <v>134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2183</v>
      </c>
      <c r="S639" s="7" t="s">
        <v>171</v>
      </c>
      <c r="T639" s="7" t="s">
        <v>2184</v>
      </c>
      <c r="U639" s="7" t="s">
        <v>202</v>
      </c>
      <c r="V639" s="24" t="e">
        <f t="shared" ca="1" si="25"/>
        <v>#NAME?</v>
      </c>
      <c r="W639" s="7"/>
      <c r="X639" s="7"/>
      <c r="Y639" s="29" t="s">
        <v>129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2185</v>
      </c>
      <c r="C640" s="4" t="s">
        <v>2186</v>
      </c>
      <c r="D640" s="7" t="s">
        <v>19</v>
      </c>
      <c r="E640" s="7" t="s">
        <v>66</v>
      </c>
      <c r="F640" s="7" t="s">
        <v>67</v>
      </c>
      <c r="G640" s="7" t="e">
        <f t="shared" ca="1" si="24"/>
        <v>#NAME?</v>
      </c>
      <c r="H640" s="24" t="s">
        <v>134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2187</v>
      </c>
      <c r="R640" s="90"/>
      <c r="S640" s="7" t="s">
        <v>127</v>
      </c>
      <c r="T640" s="7" t="s">
        <v>2188</v>
      </c>
      <c r="U640" s="7" t="s">
        <v>66</v>
      </c>
      <c r="V640" s="24" t="e">
        <f t="shared" ca="1" si="25"/>
        <v>#NAME?</v>
      </c>
      <c r="W640" s="7"/>
      <c r="X640" s="7"/>
      <c r="Y640" s="29" t="s">
        <v>240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4" t="s">
        <v>2190</v>
      </c>
      <c r="D641" s="7" t="s">
        <v>71</v>
      </c>
      <c r="E641" s="7" t="s">
        <v>66</v>
      </c>
      <c r="F641" s="7" t="s">
        <v>72</v>
      </c>
      <c r="G641" s="7" t="e">
        <f t="shared" ca="1" si="24"/>
        <v>#NAME?</v>
      </c>
      <c r="H641" s="24" t="s">
        <v>134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127</v>
      </c>
      <c r="T641" s="12" t="s">
        <v>2191</v>
      </c>
      <c r="U641" s="7" t="s">
        <v>66</v>
      </c>
      <c r="V641" s="24" t="e">
        <f t="shared" ca="1" si="25"/>
        <v>#NAME?</v>
      </c>
      <c r="W641" s="7"/>
      <c r="X641" s="7"/>
      <c r="Y641" s="29" t="s">
        <v>129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2192</v>
      </c>
      <c r="C642" s="91" t="s">
        <v>2193</v>
      </c>
      <c r="D642" s="7" t="s">
        <v>19</v>
      </c>
      <c r="E642" s="7" t="s">
        <v>35</v>
      </c>
      <c r="F642" s="7" t="s">
        <v>250</v>
      </c>
      <c r="G642" s="7" t="e">
        <f t="shared" ca="1" si="24"/>
        <v>#NAME?</v>
      </c>
      <c r="H642" s="24" t="s">
        <v>134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185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127</v>
      </c>
      <c r="T642" s="7" t="s">
        <v>2194</v>
      </c>
      <c r="U642" s="7" t="s">
        <v>202</v>
      </c>
      <c r="V642" s="24" t="e">
        <f t="shared" ca="1" si="25"/>
        <v>#NAME?</v>
      </c>
      <c r="W642" s="7"/>
      <c r="X642" s="7"/>
      <c r="Y642" s="29" t="s">
        <v>129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2195</v>
      </c>
      <c r="C643" s="4" t="s">
        <v>2196</v>
      </c>
      <c r="D643" s="7" t="s">
        <v>19</v>
      </c>
      <c r="E643" s="7" t="s">
        <v>35</v>
      </c>
      <c r="F643" s="7" t="s">
        <v>199</v>
      </c>
      <c r="G643" s="7" t="e">
        <f t="shared" ca="1" si="24"/>
        <v>#NAME?</v>
      </c>
      <c r="H643" s="24" t="s">
        <v>134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2197</v>
      </c>
      <c r="R643" s="45"/>
      <c r="S643" s="7" t="s">
        <v>127</v>
      </c>
      <c r="T643" s="7" t="s">
        <v>2198</v>
      </c>
      <c r="U643" s="7" t="s">
        <v>202</v>
      </c>
      <c r="V643" s="24" t="e">
        <f t="shared" ca="1" si="25"/>
        <v>#NAME?</v>
      </c>
      <c r="W643" s="7"/>
      <c r="X643" s="7"/>
      <c r="Y643" s="29" t="s">
        <v>129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2199</v>
      </c>
      <c r="C644" s="4" t="s">
        <v>2200</v>
      </c>
      <c r="D644" s="7" t="s">
        <v>19</v>
      </c>
      <c r="E644" s="7" t="s">
        <v>20</v>
      </c>
      <c r="F644" s="7" t="s">
        <v>791</v>
      </c>
      <c r="G644" s="7" t="e">
        <f t="shared" ca="1" si="24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127</v>
      </c>
      <c r="T644" s="7" t="s">
        <v>2201</v>
      </c>
      <c r="U644" s="7" t="s">
        <v>20</v>
      </c>
      <c r="V644" s="24" t="e">
        <f t="shared" ca="1" si="25"/>
        <v>#NAME?</v>
      </c>
      <c r="W644" s="7"/>
      <c r="X644" s="7" t="s">
        <v>137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2202</v>
      </c>
      <c r="C645" s="4" t="s">
        <v>2203</v>
      </c>
      <c r="D645" s="7" t="s">
        <v>19</v>
      </c>
      <c r="E645" s="7" t="s">
        <v>66</v>
      </c>
      <c r="F645" s="7" t="s">
        <v>144</v>
      </c>
      <c r="G645" s="7" t="e">
        <f t="shared" ca="1" si="24"/>
        <v>#NAME?</v>
      </c>
      <c r="H645" s="24" t="s">
        <v>145</v>
      </c>
      <c r="I645" s="24" t="s">
        <v>146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171</v>
      </c>
      <c r="T645" s="7" t="s">
        <v>2204</v>
      </c>
      <c r="U645" s="7" t="s">
        <v>66</v>
      </c>
      <c r="V645" s="24" t="e">
        <f t="shared" ca="1" si="25"/>
        <v>#NAME?</v>
      </c>
      <c r="W645" s="7"/>
      <c r="X645" s="7"/>
      <c r="Y645" s="29" t="s">
        <v>129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2205</v>
      </c>
      <c r="C646" s="4" t="s">
        <v>2206</v>
      </c>
      <c r="D646" s="7" t="s">
        <v>19</v>
      </c>
      <c r="E646" s="7" t="s">
        <v>66</v>
      </c>
      <c r="F646" s="7" t="s">
        <v>316</v>
      </c>
      <c r="G646" s="7" t="e">
        <f t="shared" ca="1" si="24"/>
        <v>#NAME?</v>
      </c>
      <c r="H646" s="24" t="s">
        <v>145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2207</v>
      </c>
      <c r="R646" s="90"/>
      <c r="S646" s="7" t="s">
        <v>171</v>
      </c>
      <c r="T646" s="7" t="s">
        <v>2208</v>
      </c>
      <c r="U646" s="7" t="s">
        <v>66</v>
      </c>
      <c r="V646" s="24" t="e">
        <f t="shared" ca="1" si="25"/>
        <v>#NAME?</v>
      </c>
      <c r="W646" s="7"/>
      <c r="X646" s="7"/>
      <c r="Y646" s="29" t="s">
        <v>421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2205</v>
      </c>
      <c r="C647" s="4" t="s">
        <v>2209</v>
      </c>
      <c r="D647" s="7" t="s">
        <v>19</v>
      </c>
      <c r="E647" s="7" t="s">
        <v>66</v>
      </c>
      <c r="F647" s="7" t="s">
        <v>316</v>
      </c>
      <c r="G647" s="7" t="e">
        <f t="shared" ca="1" si="24"/>
        <v>#NAME?</v>
      </c>
      <c r="H647" s="24" t="s">
        <v>145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2207</v>
      </c>
      <c r="R647" s="90"/>
      <c r="S647" s="7" t="s">
        <v>171</v>
      </c>
      <c r="T647" s="7" t="s">
        <v>2208</v>
      </c>
      <c r="U647" s="7" t="s">
        <v>66</v>
      </c>
      <c r="V647" s="24" t="e">
        <f t="shared" ca="1" si="25"/>
        <v>#NAME?</v>
      </c>
      <c r="W647" s="7"/>
      <c r="X647" s="7"/>
      <c r="Y647" s="29" t="s">
        <v>421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2210</v>
      </c>
      <c r="C648" s="4" t="s">
        <v>2211</v>
      </c>
      <c r="D648" s="7" t="s">
        <v>46</v>
      </c>
      <c r="E648" s="7" t="s">
        <v>20</v>
      </c>
      <c r="F648" s="7" t="s">
        <v>477</v>
      </c>
      <c r="G648" s="7" t="e">
        <f t="shared" ca="1" si="24"/>
        <v>#NAME?</v>
      </c>
      <c r="H648" s="24" t="s">
        <v>125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2212</v>
      </c>
      <c r="N648" s="26">
        <v>0.01</v>
      </c>
      <c r="O648" s="7" t="s">
        <v>25</v>
      </c>
      <c r="P648" s="27">
        <v>0</v>
      </c>
      <c r="Q648" s="82"/>
      <c r="R648" s="45" t="s">
        <v>692</v>
      </c>
      <c r="S648" s="7" t="s">
        <v>127</v>
      </c>
      <c r="T648" s="7" t="s">
        <v>2213</v>
      </c>
      <c r="U648" s="7" t="s">
        <v>41</v>
      </c>
      <c r="V648" s="24" t="e">
        <f t="shared" ca="1" si="25"/>
        <v>#NAME?</v>
      </c>
      <c r="W648" s="7"/>
      <c r="X648" s="7"/>
      <c r="Y648" s="29" t="s">
        <v>129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2214</v>
      </c>
      <c r="C649" s="4" t="s">
        <v>2215</v>
      </c>
      <c r="D649" s="7" t="s">
        <v>19</v>
      </c>
      <c r="E649" s="7" t="s">
        <v>35</v>
      </c>
      <c r="F649" s="7" t="s">
        <v>199</v>
      </c>
      <c r="G649" s="7" t="e">
        <f t="shared" ca="1" si="24"/>
        <v>#NAME?</v>
      </c>
      <c r="H649" s="24" t="s">
        <v>134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185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127</v>
      </c>
      <c r="T649" s="7" t="s">
        <v>2216</v>
      </c>
      <c r="U649" s="7" t="s">
        <v>202</v>
      </c>
      <c r="V649" s="24" t="e">
        <f t="shared" ca="1" si="25"/>
        <v>#NAME?</v>
      </c>
      <c r="W649" s="7"/>
      <c r="X649" s="7"/>
      <c r="Y649" s="29" t="s">
        <v>129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2217</v>
      </c>
      <c r="C650" s="4" t="s">
        <v>2218</v>
      </c>
      <c r="D650" s="7" t="s">
        <v>19</v>
      </c>
      <c r="E650" s="7" t="s">
        <v>20</v>
      </c>
      <c r="F650" s="7" t="s">
        <v>360</v>
      </c>
      <c r="G650" s="7" t="e">
        <f t="shared" ca="1" si="24"/>
        <v>#NAME?</v>
      </c>
      <c r="H650" s="24" t="s">
        <v>145</v>
      </c>
      <c r="I650" s="24" t="s">
        <v>229</v>
      </c>
      <c r="J650" s="7" t="str">
        <f t="shared" si="29"/>
        <v>Não</v>
      </c>
      <c r="K650" s="25">
        <v>45001</v>
      </c>
      <c r="L650" s="7"/>
      <c r="M650" s="7" t="s">
        <v>156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127</v>
      </c>
      <c r="T650" s="7" t="s">
        <v>2219</v>
      </c>
      <c r="U650" s="7" t="s">
        <v>20</v>
      </c>
      <c r="V650" s="24" t="e">
        <f t="shared" ca="1" si="25"/>
        <v>#NAME?</v>
      </c>
      <c r="W650" s="7"/>
      <c r="X650" s="7"/>
      <c r="Y650" s="29" t="s">
        <v>129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2220</v>
      </c>
      <c r="C651" s="4" t="s">
        <v>2221</v>
      </c>
      <c r="D651" s="7" t="s">
        <v>55</v>
      </c>
      <c r="E651" s="7" t="s">
        <v>20</v>
      </c>
      <c r="F651" s="7" t="s">
        <v>2222</v>
      </c>
      <c r="G651" s="7" t="e">
        <f t="shared" ca="1" si="24"/>
        <v>#NAME?</v>
      </c>
      <c r="H651" s="24" t="s">
        <v>134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127</v>
      </c>
      <c r="T651" s="7" t="s">
        <v>2223</v>
      </c>
      <c r="U651" s="7" t="s">
        <v>66</v>
      </c>
      <c r="V651" s="24" t="e">
        <f t="shared" ca="1" si="25"/>
        <v>#NAME?</v>
      </c>
      <c r="W651" s="7"/>
      <c r="X651" s="7"/>
      <c r="Y651" s="29" t="s">
        <v>129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2224</v>
      </c>
      <c r="C652" s="35" t="s">
        <v>2225</v>
      </c>
      <c r="D652" s="7" t="s">
        <v>19</v>
      </c>
      <c r="E652" s="7" t="s">
        <v>20</v>
      </c>
      <c r="F652" s="7" t="s">
        <v>360</v>
      </c>
      <c r="G652" s="7" t="e">
        <f t="shared" ca="1" si="24"/>
        <v>#NAME?</v>
      </c>
      <c r="H652" s="24" t="s">
        <v>134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2226</v>
      </c>
      <c r="R652" s="90"/>
      <c r="S652" s="7" t="s">
        <v>127</v>
      </c>
      <c r="T652" s="6" t="s">
        <v>2227</v>
      </c>
      <c r="U652" s="7" t="s">
        <v>20</v>
      </c>
      <c r="V652" s="24" t="e">
        <f t="shared" ca="1" si="25"/>
        <v>#NAME?</v>
      </c>
      <c r="W652" s="7"/>
      <c r="X652" s="7"/>
      <c r="Y652" s="29" t="s">
        <v>129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2228</v>
      </c>
      <c r="C653" s="4" t="s">
        <v>2229</v>
      </c>
      <c r="D653" s="7" t="s">
        <v>19</v>
      </c>
      <c r="E653" s="7" t="s">
        <v>20</v>
      </c>
      <c r="F653" s="7" t="s">
        <v>2230</v>
      </c>
      <c r="G653" s="7" t="e">
        <f t="shared" ca="1" si="24"/>
        <v>#NAME?</v>
      </c>
      <c r="H653" s="24" t="s">
        <v>134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127</v>
      </c>
      <c r="T653" s="7" t="s">
        <v>2231</v>
      </c>
      <c r="U653" s="7" t="s">
        <v>20</v>
      </c>
      <c r="V653" s="24" t="e">
        <f t="shared" ca="1" si="25"/>
        <v>#NAME?</v>
      </c>
      <c r="W653" s="7"/>
      <c r="X653" s="7"/>
      <c r="Y653" s="29" t="s">
        <v>129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2232</v>
      </c>
      <c r="C654" s="4" t="s">
        <v>2233</v>
      </c>
      <c r="D654" s="7" t="s">
        <v>71</v>
      </c>
      <c r="E654" s="7" t="s">
        <v>66</v>
      </c>
      <c r="F654" s="7" t="s">
        <v>72</v>
      </c>
      <c r="G654" s="7" t="e">
        <f t="shared" ca="1" si="24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904</v>
      </c>
      <c r="S654" s="7" t="s">
        <v>127</v>
      </c>
      <c r="T654" s="7" t="s">
        <v>2234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129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2235</v>
      </c>
      <c r="C655" s="4" t="s">
        <v>2236</v>
      </c>
      <c r="D655" s="7" t="s">
        <v>19</v>
      </c>
      <c r="E655" s="7" t="s">
        <v>66</v>
      </c>
      <c r="F655" s="7" t="s">
        <v>144</v>
      </c>
      <c r="G655" s="7" t="e">
        <f t="shared" ca="1" si="24"/>
        <v>#NAME?</v>
      </c>
      <c r="H655" s="24" t="s">
        <v>145</v>
      </c>
      <c r="I655" s="24" t="s">
        <v>921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127</v>
      </c>
      <c r="T655" s="7" t="s">
        <v>2237</v>
      </c>
      <c r="U655" s="7" t="s">
        <v>66</v>
      </c>
      <c r="V655" s="24" t="e">
        <f t="shared" ca="1" si="25"/>
        <v>#NAME?</v>
      </c>
      <c r="W655" s="7"/>
      <c r="X655" s="7"/>
      <c r="Y655" s="29" t="s">
        <v>129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2238</v>
      </c>
      <c r="C656" s="4" t="s">
        <v>2239</v>
      </c>
      <c r="D656" s="7" t="s">
        <v>19</v>
      </c>
      <c r="E656" s="7" t="s">
        <v>20</v>
      </c>
      <c r="F656" s="7" t="s">
        <v>184</v>
      </c>
      <c r="G656" s="7" t="e">
        <f t="shared" ca="1" si="24"/>
        <v>#NAME?</v>
      </c>
      <c r="H656" s="24" t="s">
        <v>134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127</v>
      </c>
      <c r="T656" s="7" t="s">
        <v>2240</v>
      </c>
      <c r="U656" s="7" t="s">
        <v>20</v>
      </c>
      <c r="V656" s="24" t="e">
        <f t="shared" ca="1" si="25"/>
        <v>#NAME?</v>
      </c>
      <c r="W656" s="7"/>
      <c r="X656" s="7"/>
      <c r="Y656" s="29" t="s">
        <v>240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2241</v>
      </c>
      <c r="C657" s="4" t="s">
        <v>2242</v>
      </c>
      <c r="D657" s="7" t="s">
        <v>19</v>
      </c>
      <c r="E657" s="7" t="s">
        <v>35</v>
      </c>
      <c r="F657" s="7" t="s">
        <v>199</v>
      </c>
      <c r="G657" s="7" t="e">
        <f t="shared" ca="1" si="24"/>
        <v>#NAME?</v>
      </c>
      <c r="H657" s="24" t="s">
        <v>134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185</v>
      </c>
      <c r="N657" s="26">
        <v>1.4999999999999999E-2</v>
      </c>
      <c r="O657" s="7" t="s">
        <v>39</v>
      </c>
      <c r="P657" s="27">
        <v>0.1</v>
      </c>
      <c r="Q657" s="23"/>
      <c r="R657" s="28" t="s">
        <v>2243</v>
      </c>
      <c r="S657" s="7" t="s">
        <v>127</v>
      </c>
      <c r="T657" s="7" t="s">
        <v>2244</v>
      </c>
      <c r="U657" s="7" t="s">
        <v>202</v>
      </c>
      <c r="V657" s="24" t="e">
        <f t="shared" ca="1" si="25"/>
        <v>#NAME?</v>
      </c>
      <c r="W657" s="7"/>
      <c r="X657" s="7"/>
      <c r="Y657" s="29" t="s">
        <v>129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2245</v>
      </c>
      <c r="C658" s="4" t="s">
        <v>2246</v>
      </c>
      <c r="D658" s="7" t="s">
        <v>19</v>
      </c>
      <c r="E658" s="7" t="s">
        <v>35</v>
      </c>
      <c r="F658" s="7" t="s">
        <v>199</v>
      </c>
      <c r="G658" s="7" t="e">
        <f t="shared" ca="1" si="24"/>
        <v>#NAME?</v>
      </c>
      <c r="H658" s="24" t="s">
        <v>125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127</v>
      </c>
      <c r="T658" s="7" t="s">
        <v>2244</v>
      </c>
      <c r="U658" s="7" t="s">
        <v>202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2247</v>
      </c>
      <c r="C659" s="4" t="s">
        <v>2248</v>
      </c>
      <c r="D659" s="7" t="s">
        <v>19</v>
      </c>
      <c r="E659" s="7" t="s">
        <v>66</v>
      </c>
      <c r="F659" s="7" t="s">
        <v>316</v>
      </c>
      <c r="G659" s="7" t="e">
        <f t="shared" ca="1" si="24"/>
        <v>#NAME?</v>
      </c>
      <c r="H659" s="24" t="s">
        <v>145</v>
      </c>
      <c r="I659" s="24" t="s">
        <v>190</v>
      </c>
      <c r="J659" s="7" t="s">
        <v>165</v>
      </c>
      <c r="K659" s="25">
        <v>45393</v>
      </c>
      <c r="L659" s="79"/>
      <c r="M659" s="7" t="s">
        <v>587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127</v>
      </c>
      <c r="T659" s="7" t="s">
        <v>2249</v>
      </c>
      <c r="U659" s="7" t="s">
        <v>66</v>
      </c>
      <c r="V659" s="24" t="e">
        <f t="shared" ca="1" si="25"/>
        <v>#NAME?</v>
      </c>
      <c r="W659" s="7"/>
      <c r="X659" s="7"/>
      <c r="Y659" s="29" t="s">
        <v>129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2247</v>
      </c>
      <c r="C660" s="4" t="s">
        <v>2250</v>
      </c>
      <c r="D660" s="7" t="s">
        <v>19</v>
      </c>
      <c r="E660" s="7" t="s">
        <v>66</v>
      </c>
      <c r="F660" s="7" t="s">
        <v>316</v>
      </c>
      <c r="G660" s="7" t="e">
        <f t="shared" ca="1" si="24"/>
        <v>#NAME?</v>
      </c>
      <c r="H660" s="24" t="s">
        <v>134</v>
      </c>
      <c r="I660" s="24" t="s">
        <v>25</v>
      </c>
      <c r="J660" s="7" t="s">
        <v>165</v>
      </c>
      <c r="K660" s="25">
        <v>45427</v>
      </c>
      <c r="L660" s="79"/>
      <c r="M660" s="7" t="s">
        <v>272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127</v>
      </c>
      <c r="T660" s="7" t="s">
        <v>2249</v>
      </c>
      <c r="U660" s="7" t="s">
        <v>66</v>
      </c>
      <c r="V660" s="24" t="e">
        <f t="shared" ca="1" si="25"/>
        <v>#NAME?</v>
      </c>
      <c r="W660" s="7"/>
      <c r="X660" s="7"/>
      <c r="Y660" s="29" t="s">
        <v>129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2251</v>
      </c>
      <c r="C661" s="4" t="s">
        <v>2252</v>
      </c>
      <c r="D661" s="7" t="s">
        <v>19</v>
      </c>
      <c r="E661" s="7" t="s">
        <v>35</v>
      </c>
      <c r="F661" s="7" t="s">
        <v>606</v>
      </c>
      <c r="G661" s="7" t="e">
        <f t="shared" ca="1" si="24"/>
        <v>#NAME?</v>
      </c>
      <c r="H661" s="24" t="s">
        <v>145</v>
      </c>
      <c r="I661" s="24" t="s">
        <v>146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1150</v>
      </c>
      <c r="S661" s="7" t="s">
        <v>127</v>
      </c>
      <c r="T661" s="7" t="s">
        <v>2253</v>
      </c>
      <c r="U661" s="7" t="s">
        <v>41</v>
      </c>
      <c r="V661" s="24" t="e">
        <f t="shared" ca="1" si="25"/>
        <v>#NAME?</v>
      </c>
      <c r="W661" s="7"/>
      <c r="X661" s="7"/>
      <c r="Y661" s="29" t="s">
        <v>129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2254</v>
      </c>
      <c r="C662" s="4" t="s">
        <v>2255</v>
      </c>
      <c r="D662" s="7" t="s">
        <v>179</v>
      </c>
      <c r="E662" s="7" t="s">
        <v>20</v>
      </c>
      <c r="F662" s="7" t="s">
        <v>180</v>
      </c>
      <c r="G662" s="7" t="e">
        <f t="shared" ca="1" si="24"/>
        <v>#NAME?</v>
      </c>
      <c r="H662" s="24" t="s">
        <v>134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2256</v>
      </c>
      <c r="R662" s="28"/>
      <c r="S662" s="7" t="s">
        <v>127</v>
      </c>
      <c r="T662" s="7" t="s">
        <v>2257</v>
      </c>
      <c r="U662" s="7" t="s">
        <v>1654</v>
      </c>
      <c r="V662" s="24" t="e">
        <f t="shared" ca="1" si="25"/>
        <v>#NAME?</v>
      </c>
      <c r="W662" s="7"/>
      <c r="X662" s="7" t="s">
        <v>152</v>
      </c>
      <c r="Y662" s="29" t="s">
        <v>240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2258</v>
      </c>
      <c r="C663" s="4" t="s">
        <v>2259</v>
      </c>
      <c r="D663" s="7" t="s">
        <v>19</v>
      </c>
      <c r="E663" s="7" t="s">
        <v>35</v>
      </c>
      <c r="F663" s="7" t="s">
        <v>199</v>
      </c>
      <c r="G663" s="7" t="e">
        <f t="shared" ca="1" si="24"/>
        <v>#NAME?</v>
      </c>
      <c r="H663" s="24" t="s">
        <v>145</v>
      </c>
      <c r="I663" s="24" t="s">
        <v>146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2260</v>
      </c>
      <c r="S663" s="7" t="s">
        <v>127</v>
      </c>
      <c r="T663" s="7" t="s">
        <v>2261</v>
      </c>
      <c r="U663" s="7" t="s">
        <v>202</v>
      </c>
      <c r="V663" s="24" t="e">
        <f t="shared" ca="1" si="25"/>
        <v>#NAME?</v>
      </c>
      <c r="W663" s="7"/>
      <c r="X663" s="7"/>
      <c r="Y663" s="29" t="s">
        <v>129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2262</v>
      </c>
      <c r="C664" s="4" t="s">
        <v>2263</v>
      </c>
      <c r="D664" s="7" t="s">
        <v>46</v>
      </c>
      <c r="E664" s="7" t="s">
        <v>20</v>
      </c>
      <c r="F664" s="7" t="s">
        <v>124</v>
      </c>
      <c r="G664" s="7" t="e">
        <f t="shared" ca="1" si="24"/>
        <v>#NAME?</v>
      </c>
      <c r="H664" s="24" t="s">
        <v>125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333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127</v>
      </c>
      <c r="T664" s="7" t="s">
        <v>2264</v>
      </c>
      <c r="U664" s="7" t="s">
        <v>20</v>
      </c>
      <c r="V664" s="24" t="e">
        <f t="shared" ca="1" si="25"/>
        <v>#NAME?</v>
      </c>
      <c r="W664" s="7"/>
      <c r="X664" s="7"/>
      <c r="Y664" s="29" t="s">
        <v>129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2265</v>
      </c>
      <c r="C665" s="4" t="s">
        <v>2266</v>
      </c>
      <c r="D665" s="7" t="s">
        <v>19</v>
      </c>
      <c r="E665" s="7" t="s">
        <v>66</v>
      </c>
      <c r="F665" s="7" t="s">
        <v>144</v>
      </c>
      <c r="G665" s="7" t="e">
        <f t="shared" ca="1" si="24"/>
        <v>#NAME?</v>
      </c>
      <c r="H665" s="24" t="s">
        <v>145</v>
      </c>
      <c r="I665" s="24" t="s">
        <v>146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671</v>
      </c>
      <c r="S665" s="7" t="s">
        <v>127</v>
      </c>
      <c r="T665" s="7" t="s">
        <v>2267</v>
      </c>
      <c r="U665" s="7" t="s">
        <v>66</v>
      </c>
      <c r="V665" s="24" t="e">
        <f t="shared" ca="1" si="25"/>
        <v>#NAME?</v>
      </c>
      <c r="W665" s="7"/>
      <c r="X665" s="7"/>
      <c r="Y665" s="29" t="s">
        <v>129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2268</v>
      </c>
      <c r="C666" s="39" t="s">
        <v>2269</v>
      </c>
      <c r="D666" s="7" t="s">
        <v>19</v>
      </c>
      <c r="E666" s="7" t="s">
        <v>20</v>
      </c>
      <c r="F666" s="7" t="s">
        <v>720</v>
      </c>
      <c r="G666" s="7" t="e">
        <f t="shared" ca="1" si="24"/>
        <v>#NAME?</v>
      </c>
      <c r="H666" s="24" t="s">
        <v>134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127</v>
      </c>
      <c r="T666" s="7" t="s">
        <v>2270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129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2271</v>
      </c>
      <c r="C667" s="39" t="s">
        <v>2272</v>
      </c>
      <c r="D667" s="7" t="s">
        <v>19</v>
      </c>
      <c r="E667" s="7" t="s">
        <v>20</v>
      </c>
      <c r="F667" s="7" t="s">
        <v>720</v>
      </c>
      <c r="G667" s="7" t="e">
        <f t="shared" ca="1" si="24"/>
        <v>#NAME?</v>
      </c>
      <c r="H667" s="24" t="s">
        <v>134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127</v>
      </c>
      <c r="T667" s="7" t="s">
        <v>2273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129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" t="s">
        <v>2275</v>
      </c>
      <c r="D668" s="7" t="s">
        <v>46</v>
      </c>
      <c r="E668" s="7" t="s">
        <v>20</v>
      </c>
      <c r="F668" s="7" t="s">
        <v>124</v>
      </c>
      <c r="G668" s="7" t="e">
        <f t="shared" ca="1" si="24"/>
        <v>#NAME?</v>
      </c>
      <c r="H668" s="24" t="s">
        <v>125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127</v>
      </c>
      <c r="T668" s="7" t="s">
        <v>2276</v>
      </c>
      <c r="U668" s="7" t="s">
        <v>20</v>
      </c>
      <c r="V668" s="24" t="e">
        <f t="shared" ca="1" si="25"/>
        <v>#NAME?</v>
      </c>
      <c r="W668" s="7"/>
      <c r="X668" s="7"/>
      <c r="Y668" s="29" t="s">
        <v>240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2277</v>
      </c>
      <c r="C669" s="4" t="s">
        <v>2278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127</v>
      </c>
      <c r="T669" s="7" t="s">
        <v>2279</v>
      </c>
      <c r="U669" s="7" t="s">
        <v>20</v>
      </c>
      <c r="V669" s="24" t="e">
        <f t="shared" ca="1" si="25"/>
        <v>#NAME?</v>
      </c>
      <c r="W669" s="7"/>
      <c r="X669" s="7"/>
      <c r="Y669" s="29" t="s">
        <v>129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2280</v>
      </c>
      <c r="C670" s="4" t="s">
        <v>2281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134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127</v>
      </c>
      <c r="T670" s="7" t="s">
        <v>2282</v>
      </c>
      <c r="U670" s="7" t="s">
        <v>20</v>
      </c>
      <c r="V670" s="24" t="e">
        <f t="shared" ca="1" si="25"/>
        <v>#NAME?</v>
      </c>
      <c r="W670" s="7"/>
      <c r="X670" s="7"/>
      <c r="Y670" s="29" t="s">
        <v>129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2283</v>
      </c>
      <c r="C671" s="64" t="s">
        <v>2284</v>
      </c>
      <c r="D671" s="7" t="s">
        <v>19</v>
      </c>
      <c r="E671" s="7" t="s">
        <v>20</v>
      </c>
      <c r="F671" s="7" t="s">
        <v>155</v>
      </c>
      <c r="G671" s="7" t="e">
        <f t="shared" ca="1" si="24"/>
        <v>#NAME?</v>
      </c>
      <c r="H671" s="24" t="s">
        <v>134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127</v>
      </c>
      <c r="T671" s="7" t="s">
        <v>2285</v>
      </c>
      <c r="U671" s="7" t="s">
        <v>20</v>
      </c>
      <c r="V671" s="24" t="e">
        <f t="shared" ca="1" si="25"/>
        <v>#NAME?</v>
      </c>
      <c r="W671" s="7"/>
      <c r="X671" s="7"/>
      <c r="Y671" s="29" t="s">
        <v>129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2286</v>
      </c>
      <c r="C672" s="49" t="s">
        <v>2287</v>
      </c>
      <c r="D672" s="7" t="s">
        <v>19</v>
      </c>
      <c r="E672" s="7" t="s">
        <v>35</v>
      </c>
      <c r="F672" s="7" t="s">
        <v>199</v>
      </c>
      <c r="G672" s="7" t="e">
        <f t="shared" ca="1" si="24"/>
        <v>#NAME?</v>
      </c>
      <c r="H672" s="24" t="s">
        <v>125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333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127</v>
      </c>
      <c r="T672" s="7" t="s">
        <v>2288</v>
      </c>
      <c r="U672" s="7" t="s">
        <v>202</v>
      </c>
      <c r="V672" s="24" t="e">
        <f t="shared" ca="1" si="25"/>
        <v>#NAME?</v>
      </c>
      <c r="W672" s="7"/>
      <c r="X672" s="7"/>
      <c r="Y672" s="29" t="s">
        <v>129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2286</v>
      </c>
      <c r="C673" s="49" t="s">
        <v>2289</v>
      </c>
      <c r="D673" s="7" t="s">
        <v>19</v>
      </c>
      <c r="E673" s="7" t="s">
        <v>35</v>
      </c>
      <c r="F673" s="7" t="s">
        <v>199</v>
      </c>
      <c r="G673" s="7" t="e">
        <f t="shared" ca="1" si="24"/>
        <v>#NAME?</v>
      </c>
      <c r="H673" s="24" t="s">
        <v>125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127</v>
      </c>
      <c r="T673" s="7" t="s">
        <v>2288</v>
      </c>
      <c r="U673" s="7" t="s">
        <v>202</v>
      </c>
      <c r="V673" s="24" t="e">
        <f t="shared" ca="1" si="25"/>
        <v>#NAME?</v>
      </c>
      <c r="W673" s="7"/>
      <c r="X673" s="7"/>
      <c r="Y673" s="29" t="s">
        <v>129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2290</v>
      </c>
      <c r="C674" s="49" t="s">
        <v>2291</v>
      </c>
      <c r="D674" s="7" t="s">
        <v>179</v>
      </c>
      <c r="E674" s="7" t="s">
        <v>20</v>
      </c>
      <c r="F674" s="7" t="s">
        <v>180</v>
      </c>
      <c r="G674" s="7" t="e">
        <f t="shared" ca="1" si="24"/>
        <v>#NAME?</v>
      </c>
      <c r="H674" s="24" t="s">
        <v>134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2292</v>
      </c>
      <c r="R674" s="90"/>
      <c r="S674" s="7" t="s">
        <v>127</v>
      </c>
      <c r="T674" s="7" t="s">
        <v>2293</v>
      </c>
      <c r="U674" s="7" t="s">
        <v>878</v>
      </c>
      <c r="V674" s="24" t="e">
        <f t="shared" ca="1" si="25"/>
        <v>#NAME?</v>
      </c>
      <c r="W674" s="7"/>
      <c r="X674" s="7" t="s">
        <v>42</v>
      </c>
      <c r="Y674" s="29" t="s">
        <v>129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2294</v>
      </c>
      <c r="C675" s="4" t="s">
        <v>2295</v>
      </c>
      <c r="D675" s="7" t="s">
        <v>19</v>
      </c>
      <c r="E675" s="7" t="s">
        <v>66</v>
      </c>
      <c r="F675" s="7" t="s">
        <v>144</v>
      </c>
      <c r="G675" s="7" t="e">
        <f t="shared" ca="1" si="24"/>
        <v>#NAME?</v>
      </c>
      <c r="H675" s="24" t="s">
        <v>145</v>
      </c>
      <c r="I675" s="24" t="s">
        <v>146</v>
      </c>
      <c r="J675" s="7" t="str">
        <f t="shared" si="30"/>
        <v>Não</v>
      </c>
      <c r="K675" s="25">
        <v>45100</v>
      </c>
      <c r="L675" s="25"/>
      <c r="M675" s="7" t="s">
        <v>175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127</v>
      </c>
      <c r="T675" s="7" t="s">
        <v>2296</v>
      </c>
      <c r="U675" s="7" t="s">
        <v>575</v>
      </c>
      <c r="V675" s="24" t="e">
        <f t="shared" ca="1" si="25"/>
        <v>#NAME?</v>
      </c>
      <c r="W675" s="7"/>
      <c r="X675" s="7"/>
      <c r="Y675" s="29" t="s">
        <v>129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2297</v>
      </c>
      <c r="C676" s="4" t="s">
        <v>2298</v>
      </c>
      <c r="D676" s="7" t="s">
        <v>19</v>
      </c>
      <c r="E676" s="7" t="s">
        <v>20</v>
      </c>
      <c r="F676" s="7" t="s">
        <v>184</v>
      </c>
      <c r="G676" s="7" t="e">
        <f t="shared" ca="1" si="24"/>
        <v>#NAME?</v>
      </c>
      <c r="H676" s="24" t="s">
        <v>134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127</v>
      </c>
      <c r="T676" s="7" t="s">
        <v>2299</v>
      </c>
      <c r="U676" s="7" t="s">
        <v>66</v>
      </c>
      <c r="V676" s="24" t="e">
        <f t="shared" ca="1" si="25"/>
        <v>#NAME?</v>
      </c>
      <c r="W676" s="7"/>
      <c r="X676" s="7"/>
      <c r="Y676" s="29" t="s">
        <v>129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2300</v>
      </c>
      <c r="C677" s="44" t="s">
        <v>2301</v>
      </c>
      <c r="D677" s="7" t="s">
        <v>19</v>
      </c>
      <c r="E677" s="7" t="s">
        <v>66</v>
      </c>
      <c r="F677" s="7" t="s">
        <v>144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2302</v>
      </c>
      <c r="R677" s="93" t="s">
        <v>2303</v>
      </c>
      <c r="S677" s="7" t="s">
        <v>127</v>
      </c>
      <c r="T677" s="7" t="s">
        <v>2304</v>
      </c>
      <c r="U677" s="7" t="s">
        <v>66</v>
      </c>
      <c r="V677" s="24" t="e">
        <f t="shared" ca="1" si="25"/>
        <v>#NAME?</v>
      </c>
      <c r="W677" s="7"/>
      <c r="X677" s="7"/>
      <c r="Y677" s="29" t="s">
        <v>129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2305</v>
      </c>
      <c r="C678" s="4" t="s">
        <v>2306</v>
      </c>
      <c r="D678" s="7" t="s">
        <v>19</v>
      </c>
      <c r="E678" s="7" t="s">
        <v>35</v>
      </c>
      <c r="F678" s="7" t="s">
        <v>199</v>
      </c>
      <c r="G678" s="7" t="e">
        <f t="shared" ca="1" si="24"/>
        <v>#NAME?</v>
      </c>
      <c r="H678" s="24" t="s">
        <v>134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2307</v>
      </c>
      <c r="S678" s="7" t="s">
        <v>127</v>
      </c>
      <c r="T678" s="7" t="s">
        <v>2308</v>
      </c>
      <c r="U678" s="7" t="s">
        <v>48</v>
      </c>
      <c r="V678" s="24" t="e">
        <f t="shared" ca="1" si="25"/>
        <v>#NAME?</v>
      </c>
      <c r="W678" s="7"/>
      <c r="X678" s="7"/>
      <c r="Y678" s="29" t="s">
        <v>129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2305</v>
      </c>
      <c r="C679" s="4" t="s">
        <v>2309</v>
      </c>
      <c r="D679" s="7" t="s">
        <v>19</v>
      </c>
      <c r="E679" s="7" t="s">
        <v>35</v>
      </c>
      <c r="F679" s="7" t="s">
        <v>199</v>
      </c>
      <c r="G679" s="7" t="e">
        <f t="shared" ca="1" si="24"/>
        <v>#NAME?</v>
      </c>
      <c r="H679" s="24" t="s">
        <v>145</v>
      </c>
      <c r="I679" s="24" t="s">
        <v>146</v>
      </c>
      <c r="J679" s="7" t="str">
        <f t="shared" si="30"/>
        <v>Não</v>
      </c>
      <c r="K679" s="25">
        <v>45034</v>
      </c>
      <c r="L679" s="7"/>
      <c r="M679" s="7" t="s">
        <v>245</v>
      </c>
      <c r="N679" s="26">
        <v>8.0000000000000002E-3</v>
      </c>
      <c r="O679" s="7" t="s">
        <v>246</v>
      </c>
      <c r="P679" s="27">
        <v>0.1</v>
      </c>
      <c r="Q679" s="90"/>
      <c r="R679" s="90"/>
      <c r="S679" s="7" t="s">
        <v>127</v>
      </c>
      <c r="T679" s="7" t="s">
        <v>2308</v>
      </c>
      <c r="U679" s="7" t="s">
        <v>48</v>
      </c>
      <c r="V679" s="24" t="e">
        <f t="shared" ca="1" si="25"/>
        <v>#NAME?</v>
      </c>
      <c r="W679" s="7"/>
      <c r="X679" s="7"/>
      <c r="Y679" s="29" t="s">
        <v>129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2305</v>
      </c>
      <c r="C680" s="4" t="s">
        <v>2310</v>
      </c>
      <c r="D680" s="7" t="s">
        <v>19</v>
      </c>
      <c r="E680" s="7" t="s">
        <v>35</v>
      </c>
      <c r="F680" s="7" t="s">
        <v>199</v>
      </c>
      <c r="G680" s="7" t="e">
        <f t="shared" ca="1" si="24"/>
        <v>#NAME?</v>
      </c>
      <c r="H680" s="24" t="s">
        <v>134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175</v>
      </c>
      <c r="N680" s="26">
        <v>1.2E-2</v>
      </c>
      <c r="O680" s="7" t="s">
        <v>39</v>
      </c>
      <c r="P680" s="27">
        <v>0.1</v>
      </c>
      <c r="Q680" s="45" t="s">
        <v>2311</v>
      </c>
      <c r="R680" s="45" t="s">
        <v>904</v>
      </c>
      <c r="S680" s="7" t="s">
        <v>127</v>
      </c>
      <c r="T680" s="7" t="s">
        <v>2308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129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2312</v>
      </c>
      <c r="C681" s="4" t="s">
        <v>2313</v>
      </c>
      <c r="D681" s="7" t="s">
        <v>19</v>
      </c>
      <c r="E681" s="7" t="s">
        <v>35</v>
      </c>
      <c r="F681" s="7" t="s">
        <v>250</v>
      </c>
      <c r="G681" s="7" t="e">
        <f t="shared" ca="1" si="24"/>
        <v>#NAME?</v>
      </c>
      <c r="H681" s="24" t="s">
        <v>134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185</v>
      </c>
      <c r="N681" s="26">
        <v>1.4999999999999999E-2</v>
      </c>
      <c r="O681" s="7" t="s">
        <v>39</v>
      </c>
      <c r="P681" s="27">
        <v>0.1</v>
      </c>
      <c r="Q681" s="45"/>
      <c r="R681" s="28" t="s">
        <v>2314</v>
      </c>
      <c r="S681" s="7" t="s">
        <v>127</v>
      </c>
      <c r="T681" s="7" t="s">
        <v>2315</v>
      </c>
      <c r="U681" s="7" t="s">
        <v>878</v>
      </c>
      <c r="V681" s="24" t="e">
        <f t="shared" ca="1" si="25"/>
        <v>#NAME?</v>
      </c>
      <c r="W681" s="7"/>
      <c r="X681" s="7"/>
      <c r="Y681" s="29" t="s">
        <v>129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2316</v>
      </c>
      <c r="C682" s="44" t="s">
        <v>2317</v>
      </c>
      <c r="D682" s="7" t="s">
        <v>19</v>
      </c>
      <c r="E682" s="7" t="s">
        <v>20</v>
      </c>
      <c r="F682" s="7" t="s">
        <v>155</v>
      </c>
      <c r="G682" s="7" t="e">
        <f t="shared" ca="1" si="24"/>
        <v>#NAME?</v>
      </c>
      <c r="H682" s="24" t="s">
        <v>134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185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127</v>
      </c>
      <c r="T682" s="12" t="s">
        <v>2318</v>
      </c>
      <c r="U682" s="7" t="s">
        <v>20</v>
      </c>
      <c r="V682" s="24" t="e">
        <f t="shared" ca="1" si="25"/>
        <v>#NAME?</v>
      </c>
      <c r="W682" s="7"/>
      <c r="X682" s="7"/>
      <c r="Y682" s="29" t="s">
        <v>129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2319</v>
      </c>
      <c r="C683" s="49" t="s">
        <v>2320</v>
      </c>
      <c r="D683" s="7" t="s">
        <v>46</v>
      </c>
      <c r="E683" s="7" t="s">
        <v>20</v>
      </c>
      <c r="F683" s="7" t="s">
        <v>477</v>
      </c>
      <c r="G683" s="7" t="e">
        <f t="shared" ca="1" si="24"/>
        <v>#NAME?</v>
      </c>
      <c r="H683" s="24" t="s">
        <v>125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297</v>
      </c>
      <c r="S683" s="7" t="s">
        <v>127</v>
      </c>
      <c r="T683" s="7" t="s">
        <v>2321</v>
      </c>
      <c r="U683" s="7" t="s">
        <v>20</v>
      </c>
      <c r="V683" s="24" t="e">
        <f t="shared" ca="1" si="25"/>
        <v>#NAME?</v>
      </c>
      <c r="W683" s="7"/>
      <c r="X683" s="7"/>
      <c r="Y683" s="29" t="s">
        <v>129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2322</v>
      </c>
      <c r="C684" s="4" t="s">
        <v>2323</v>
      </c>
      <c r="D684" s="7" t="s">
        <v>46</v>
      </c>
      <c r="E684" s="7" t="s">
        <v>20</v>
      </c>
      <c r="F684" s="7" t="s">
        <v>124</v>
      </c>
      <c r="G684" s="7" t="e">
        <f t="shared" ca="1" si="24"/>
        <v>#NAME?</v>
      </c>
      <c r="H684" s="24" t="s">
        <v>125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185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171</v>
      </c>
      <c r="T684" s="7" t="s">
        <v>2324</v>
      </c>
      <c r="U684" s="7" t="s">
        <v>41</v>
      </c>
      <c r="V684" s="24" t="e">
        <f t="shared" ca="1" si="25"/>
        <v>#NAME?</v>
      </c>
      <c r="W684" s="7"/>
      <c r="X684" s="7"/>
      <c r="Y684" s="29" t="s">
        <v>240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2325</v>
      </c>
      <c r="C685" s="4" t="s">
        <v>2326</v>
      </c>
      <c r="D685" s="7" t="s">
        <v>19</v>
      </c>
      <c r="E685" s="7" t="s">
        <v>66</v>
      </c>
      <c r="F685" s="7" t="s">
        <v>265</v>
      </c>
      <c r="G685" s="7" t="e">
        <f t="shared" ca="1" si="24"/>
        <v>#NAME?</v>
      </c>
      <c r="H685" s="24" t="s">
        <v>134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171</v>
      </c>
      <c r="T685" s="7" t="s">
        <v>2327</v>
      </c>
      <c r="U685" s="7" t="s">
        <v>66</v>
      </c>
      <c r="V685" s="24" t="e">
        <f t="shared" ca="1" si="25"/>
        <v>#NAME?</v>
      </c>
      <c r="W685" s="7"/>
      <c r="X685" s="7"/>
      <c r="Y685" s="29" t="s">
        <v>129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2328</v>
      </c>
      <c r="C686" s="4" t="s">
        <v>2329</v>
      </c>
      <c r="D686" s="7" t="s">
        <v>19</v>
      </c>
      <c r="E686" s="7" t="s">
        <v>66</v>
      </c>
      <c r="F686" s="7" t="s">
        <v>144</v>
      </c>
      <c r="G686" s="7" t="e">
        <f t="shared" ca="1" si="24"/>
        <v>#NAME?</v>
      </c>
      <c r="H686" s="24" t="s">
        <v>145</v>
      </c>
      <c r="I686" s="24" t="s">
        <v>921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671</v>
      </c>
      <c r="S686" s="7" t="s">
        <v>127</v>
      </c>
      <c r="T686" s="7" t="s">
        <v>2330</v>
      </c>
      <c r="U686" s="7" t="s">
        <v>66</v>
      </c>
      <c r="V686" s="24" t="e">
        <f t="shared" ca="1" si="25"/>
        <v>#NAME?</v>
      </c>
      <c r="W686" s="7"/>
      <c r="X686" s="7"/>
      <c r="Y686" s="29" t="s">
        <v>129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2331</v>
      </c>
      <c r="C687" s="4" t="s">
        <v>2332</v>
      </c>
      <c r="D687" s="7" t="s">
        <v>46</v>
      </c>
      <c r="E687" s="7" t="s">
        <v>20</v>
      </c>
      <c r="F687" s="7" t="s">
        <v>2333</v>
      </c>
      <c r="G687" s="7" t="e">
        <f t="shared" ca="1" si="24"/>
        <v>#NAME?</v>
      </c>
      <c r="H687" s="24" t="s">
        <v>125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127</v>
      </c>
      <c r="T687" s="7" t="s">
        <v>2334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2335</v>
      </c>
      <c r="C688" s="4" t="s">
        <v>2336</v>
      </c>
      <c r="D688" s="7" t="s">
        <v>19</v>
      </c>
      <c r="E688" s="7" t="s">
        <v>66</v>
      </c>
      <c r="F688" s="7" t="s">
        <v>67</v>
      </c>
      <c r="G688" s="7" t="e">
        <f t="shared" ca="1" si="24"/>
        <v>#NAME?</v>
      </c>
      <c r="H688" s="24" t="s">
        <v>134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127</v>
      </c>
      <c r="T688" s="7" t="s">
        <v>2337</v>
      </c>
      <c r="U688" s="7" t="s">
        <v>66</v>
      </c>
      <c r="V688" s="24" t="e">
        <f t="shared" ca="1" si="25"/>
        <v>#NAME?</v>
      </c>
      <c r="W688" s="7"/>
      <c r="X688" s="7"/>
      <c r="Y688" s="29" t="s">
        <v>129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2338</v>
      </c>
      <c r="C689" s="4" t="s">
        <v>2339</v>
      </c>
      <c r="D689" s="7" t="s">
        <v>19</v>
      </c>
      <c r="E689" s="7" t="s">
        <v>66</v>
      </c>
      <c r="F689" s="7" t="s">
        <v>67</v>
      </c>
      <c r="G689" s="7" t="e">
        <f t="shared" ca="1" si="24"/>
        <v>#NAME?</v>
      </c>
      <c r="H689" s="24" t="s">
        <v>134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2340</v>
      </c>
      <c r="R689" s="90"/>
      <c r="S689" s="7" t="s">
        <v>127</v>
      </c>
      <c r="T689" s="7" t="s">
        <v>2337</v>
      </c>
      <c r="U689" s="7" t="s">
        <v>66</v>
      </c>
      <c r="V689" s="24" t="e">
        <f t="shared" ca="1" si="25"/>
        <v>#NAME?</v>
      </c>
      <c r="W689" s="7"/>
      <c r="X689" s="7"/>
      <c r="Y689" s="29" t="s">
        <v>129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2342</v>
      </c>
      <c r="D690" s="7" t="s">
        <v>19</v>
      </c>
      <c r="E690" s="7" t="s">
        <v>66</v>
      </c>
      <c r="F690" s="7" t="s">
        <v>265</v>
      </c>
      <c r="G690" s="7" t="e">
        <f t="shared" ca="1" si="24"/>
        <v>#NAME?</v>
      </c>
      <c r="H690" s="24" t="s">
        <v>134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127</v>
      </c>
      <c r="T690" s="7" t="s">
        <v>2343</v>
      </c>
      <c r="U690" s="7" t="s">
        <v>66</v>
      </c>
      <c r="V690" s="24" t="e">
        <f t="shared" ca="1" si="25"/>
        <v>#NAME?</v>
      </c>
      <c r="W690" s="7"/>
      <c r="X690" s="7"/>
      <c r="Y690" s="29" t="s">
        <v>129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2344</v>
      </c>
      <c r="C691" s="4" t="s">
        <v>2345</v>
      </c>
      <c r="D691" s="7" t="s">
        <v>179</v>
      </c>
      <c r="E691" s="7" t="s">
        <v>20</v>
      </c>
      <c r="F691" s="7" t="s">
        <v>180</v>
      </c>
      <c r="G691" s="7" t="e">
        <f t="shared" ca="1" si="24"/>
        <v>#NAME?</v>
      </c>
      <c r="H691" s="24" t="s">
        <v>134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127</v>
      </c>
      <c r="T691" s="7" t="s">
        <v>2346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129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2347</v>
      </c>
      <c r="C692" s="4" t="s">
        <v>2348</v>
      </c>
      <c r="D692" s="7" t="s">
        <v>19</v>
      </c>
      <c r="E692" s="7" t="s">
        <v>20</v>
      </c>
      <c r="F692" s="7" t="s">
        <v>184</v>
      </c>
      <c r="G692" s="7" t="e">
        <f t="shared" ca="1" si="24"/>
        <v>#NAME?</v>
      </c>
      <c r="H692" s="24" t="s">
        <v>134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2349</v>
      </c>
      <c r="R692" s="90"/>
      <c r="S692" s="7" t="s">
        <v>127</v>
      </c>
      <c r="T692" s="7" t="s">
        <v>2350</v>
      </c>
      <c r="U692" s="7" t="s">
        <v>20</v>
      </c>
      <c r="V692" s="24" t="e">
        <f t="shared" ca="1" si="25"/>
        <v>#NAME?</v>
      </c>
      <c r="W692" s="7"/>
      <c r="X692" s="7"/>
      <c r="Y692" s="29" t="s">
        <v>129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2351</v>
      </c>
      <c r="C693" s="4" t="s">
        <v>2352</v>
      </c>
      <c r="D693" s="7" t="s">
        <v>19</v>
      </c>
      <c r="E693" s="7" t="s">
        <v>20</v>
      </c>
      <c r="F693" s="7" t="s">
        <v>791</v>
      </c>
      <c r="G693" s="7" t="e">
        <f t="shared" ca="1" si="24"/>
        <v>#NAME?</v>
      </c>
      <c r="H693" s="24" t="s">
        <v>150</v>
      </c>
      <c r="I693" s="24" t="s">
        <v>208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127</v>
      </c>
      <c r="T693" s="7" t="s">
        <v>2353</v>
      </c>
      <c r="U693" s="7" t="s">
        <v>20</v>
      </c>
      <c r="V693" s="24" t="e">
        <f t="shared" ca="1" si="25"/>
        <v>#NAME?</v>
      </c>
      <c r="W693" s="7"/>
      <c r="X693" s="7" t="s">
        <v>137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2354</v>
      </c>
      <c r="C694" s="4" t="s">
        <v>2355</v>
      </c>
      <c r="D694" s="7" t="s">
        <v>46</v>
      </c>
      <c r="E694" s="7" t="s">
        <v>20</v>
      </c>
      <c r="F694" s="7" t="s">
        <v>189</v>
      </c>
      <c r="G694" s="7" t="e">
        <f t="shared" ca="1" si="24"/>
        <v>#NAME?</v>
      </c>
      <c r="H694" s="24" t="s">
        <v>145</v>
      </c>
      <c r="I694" s="24" t="s">
        <v>190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191</v>
      </c>
      <c r="R694" s="90"/>
      <c r="S694" s="7" t="s">
        <v>127</v>
      </c>
      <c r="T694" s="7" t="s">
        <v>2356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129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2357</v>
      </c>
      <c r="C695" s="4" t="s">
        <v>2358</v>
      </c>
      <c r="D695" s="7" t="s">
        <v>19</v>
      </c>
      <c r="E695" s="7" t="s">
        <v>35</v>
      </c>
      <c r="F695" s="7" t="s">
        <v>199</v>
      </c>
      <c r="G695" s="7" t="e">
        <f t="shared" ca="1" si="24"/>
        <v>#NAME?</v>
      </c>
      <c r="H695" s="24" t="s">
        <v>134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242</v>
      </c>
      <c r="N695" s="26">
        <v>2.5000000000000001E-2</v>
      </c>
      <c r="O695" s="7" t="s">
        <v>167</v>
      </c>
      <c r="P695" s="27">
        <v>0.2</v>
      </c>
      <c r="Q695" s="45"/>
      <c r="R695" s="28"/>
      <c r="S695" s="7" t="s">
        <v>127</v>
      </c>
      <c r="T695" s="7" t="s">
        <v>2359</v>
      </c>
      <c r="U695" s="7" t="s">
        <v>202</v>
      </c>
      <c r="V695" s="24" t="e">
        <f t="shared" ca="1" si="25"/>
        <v>#NAME?</v>
      </c>
      <c r="W695" s="7"/>
      <c r="X695" s="7"/>
      <c r="Y695" s="29" t="s">
        <v>129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2357</v>
      </c>
      <c r="C696" s="4" t="s">
        <v>2360</v>
      </c>
      <c r="D696" s="7" t="s">
        <v>19</v>
      </c>
      <c r="E696" s="7" t="s">
        <v>35</v>
      </c>
      <c r="F696" s="7" t="s">
        <v>199</v>
      </c>
      <c r="G696" s="7" t="e">
        <f t="shared" ca="1" si="24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2361</v>
      </c>
      <c r="S696" s="7" t="s">
        <v>127</v>
      </c>
      <c r="T696" s="7" t="s">
        <v>2359</v>
      </c>
      <c r="U696" s="7" t="s">
        <v>202</v>
      </c>
      <c r="V696" s="24" t="e">
        <f t="shared" ca="1" si="25"/>
        <v>#NAME?</v>
      </c>
      <c r="W696" s="7"/>
      <c r="X696" s="7"/>
      <c r="Y696" s="29" t="s">
        <v>129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2362</v>
      </c>
      <c r="C697" s="4" t="s">
        <v>2363</v>
      </c>
      <c r="D697" s="7" t="s">
        <v>19</v>
      </c>
      <c r="E697" s="7" t="s">
        <v>66</v>
      </c>
      <c r="F697" s="7" t="s">
        <v>316</v>
      </c>
      <c r="G697" s="7" t="e">
        <f t="shared" ca="1" si="24"/>
        <v>#NAME?</v>
      </c>
      <c r="H697" s="24" t="s">
        <v>134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333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127</v>
      </c>
      <c r="T697" s="7" t="s">
        <v>2364</v>
      </c>
      <c r="U697" s="7" t="s">
        <v>20</v>
      </c>
      <c r="V697" s="24" t="e">
        <f t="shared" ca="1" si="25"/>
        <v>#NAME?</v>
      </c>
      <c r="W697" s="7"/>
      <c r="X697" s="7"/>
      <c r="Y697" s="29" t="s">
        <v>240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2365</v>
      </c>
      <c r="C698" s="4" t="s">
        <v>2366</v>
      </c>
      <c r="D698" s="7" t="s">
        <v>19</v>
      </c>
      <c r="E698" s="7" t="s">
        <v>20</v>
      </c>
      <c r="F698" s="7" t="s">
        <v>720</v>
      </c>
      <c r="G698" s="7" t="e">
        <f t="shared" ca="1" si="24"/>
        <v>#NAME?</v>
      </c>
      <c r="H698" s="24" t="s">
        <v>145</v>
      </c>
      <c r="I698" s="24" t="s">
        <v>146</v>
      </c>
      <c r="J698" s="7" t="str">
        <f t="shared" si="30"/>
        <v>Não</v>
      </c>
      <c r="K698" s="25">
        <v>45042</v>
      </c>
      <c r="L698" s="7"/>
      <c r="M698" s="7" t="s">
        <v>333</v>
      </c>
      <c r="N698" s="26">
        <v>0.02</v>
      </c>
      <c r="O698" s="7" t="s">
        <v>39</v>
      </c>
      <c r="P698" s="27">
        <v>0.2</v>
      </c>
      <c r="Q698" s="28"/>
      <c r="R698" s="43" t="s">
        <v>2367</v>
      </c>
      <c r="S698" s="7" t="s">
        <v>127</v>
      </c>
      <c r="T698" s="7" t="s">
        <v>2368</v>
      </c>
      <c r="U698" s="7" t="s">
        <v>20</v>
      </c>
      <c r="V698" s="24" t="e">
        <f t="shared" ca="1" si="25"/>
        <v>#NAME?</v>
      </c>
      <c r="W698" s="7"/>
      <c r="X698" s="7"/>
      <c r="Y698" s="29" t="s">
        <v>129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2369</v>
      </c>
      <c r="C699" s="4" t="s">
        <v>2370</v>
      </c>
      <c r="D699" s="7" t="s">
        <v>46</v>
      </c>
      <c r="E699" s="7" t="s">
        <v>20</v>
      </c>
      <c r="F699" s="7" t="s">
        <v>2371</v>
      </c>
      <c r="G699" s="7" t="e">
        <f t="shared" ca="1" si="24"/>
        <v>#NAME?</v>
      </c>
      <c r="H699" s="24" t="s">
        <v>145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185</v>
      </c>
      <c r="N699" s="26">
        <v>1.4999999999999999E-2</v>
      </c>
      <c r="O699" s="7" t="s">
        <v>39</v>
      </c>
      <c r="P699" s="27">
        <v>0.1</v>
      </c>
      <c r="Q699" s="116" t="s">
        <v>2372</v>
      </c>
      <c r="R699" s="90"/>
      <c r="S699" s="7" t="s">
        <v>127</v>
      </c>
      <c r="T699" s="7" t="s">
        <v>2373</v>
      </c>
      <c r="U699" s="7" t="s">
        <v>20</v>
      </c>
      <c r="V699" s="24" t="e">
        <f t="shared" ca="1" si="25"/>
        <v>#NAME?</v>
      </c>
      <c r="W699" s="7"/>
      <c r="X699" s="7"/>
      <c r="Y699" s="29" t="s">
        <v>129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2374</v>
      </c>
      <c r="C700" s="4" t="s">
        <v>2375</v>
      </c>
      <c r="D700" s="7" t="s">
        <v>46</v>
      </c>
      <c r="E700" s="7" t="s">
        <v>20</v>
      </c>
      <c r="F700" s="7" t="s">
        <v>2376</v>
      </c>
      <c r="G700" s="7" t="e">
        <f t="shared" ca="1" si="24"/>
        <v>#NAME?</v>
      </c>
      <c r="H700" s="24" t="s">
        <v>125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185</v>
      </c>
      <c r="N700" s="26">
        <v>0.01</v>
      </c>
      <c r="O700" s="7" t="s">
        <v>39</v>
      </c>
      <c r="P700" s="27">
        <v>0.1</v>
      </c>
      <c r="Q700" s="116"/>
      <c r="R700" s="28" t="s">
        <v>273</v>
      </c>
      <c r="S700" s="7" t="s">
        <v>127</v>
      </c>
      <c r="T700" s="7" t="s">
        <v>2377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2378</v>
      </c>
      <c r="C701" s="4" t="s">
        <v>2379</v>
      </c>
      <c r="D701" s="7" t="s">
        <v>19</v>
      </c>
      <c r="E701" s="7" t="s">
        <v>20</v>
      </c>
      <c r="F701" s="7" t="s">
        <v>155</v>
      </c>
      <c r="G701" s="7" t="e">
        <f t="shared" ca="1" si="24"/>
        <v>#NAME?</v>
      </c>
      <c r="H701" s="24" t="s">
        <v>145</v>
      </c>
      <c r="I701" s="24" t="s">
        <v>146</v>
      </c>
      <c r="J701" s="7" t="str">
        <f t="shared" si="30"/>
        <v>Não</v>
      </c>
      <c r="K701" s="25">
        <v>45341</v>
      </c>
      <c r="L701" s="7"/>
      <c r="M701" s="7" t="s">
        <v>175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127</v>
      </c>
      <c r="T701" s="7" t="s">
        <v>2380</v>
      </c>
      <c r="U701" s="7" t="s">
        <v>20</v>
      </c>
      <c r="V701" s="24" t="e">
        <f t="shared" ca="1" si="25"/>
        <v>#NAME?</v>
      </c>
      <c r="W701" s="7"/>
      <c r="X701" s="7"/>
      <c r="Y701" s="29" t="s">
        <v>129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2381</v>
      </c>
      <c r="C702" s="4" t="s">
        <v>2382</v>
      </c>
      <c r="D702" s="7" t="s">
        <v>19</v>
      </c>
      <c r="E702" s="7" t="s">
        <v>66</v>
      </c>
      <c r="F702" s="7" t="s">
        <v>316</v>
      </c>
      <c r="G702" s="7" t="e">
        <f t="shared" ca="1" si="24"/>
        <v>#NAME?</v>
      </c>
      <c r="H702" s="24" t="s">
        <v>134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2383</v>
      </c>
      <c r="R702" s="90"/>
      <c r="S702" s="7" t="s">
        <v>127</v>
      </c>
      <c r="T702" s="7" t="s">
        <v>2384</v>
      </c>
      <c r="U702" s="7" t="s">
        <v>66</v>
      </c>
      <c r="V702" s="24" t="e">
        <f t="shared" ca="1" si="25"/>
        <v>#NAME?</v>
      </c>
      <c r="W702" s="7"/>
      <c r="X702" s="7" t="s">
        <v>152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2385</v>
      </c>
      <c r="C703" s="4" t="s">
        <v>2386</v>
      </c>
      <c r="D703" s="7" t="s">
        <v>19</v>
      </c>
      <c r="E703" s="7" t="s">
        <v>20</v>
      </c>
      <c r="F703" s="7" t="s">
        <v>184</v>
      </c>
      <c r="G703" s="7" t="e">
        <f t="shared" ca="1" si="24"/>
        <v>#NAME?</v>
      </c>
      <c r="H703" s="24" t="s">
        <v>134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127</v>
      </c>
      <c r="T703" s="7" t="s">
        <v>2387</v>
      </c>
      <c r="U703" s="7" t="s">
        <v>20</v>
      </c>
      <c r="V703" s="24" t="e">
        <f t="shared" ca="1" si="25"/>
        <v>#NAME?</v>
      </c>
      <c r="W703" s="7"/>
      <c r="X703" s="7"/>
      <c r="Y703" s="29" t="s">
        <v>129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2388</v>
      </c>
      <c r="C704" s="4" t="s">
        <v>2389</v>
      </c>
      <c r="D704" s="7" t="s">
        <v>19</v>
      </c>
      <c r="E704" s="7" t="s">
        <v>20</v>
      </c>
      <c r="F704" s="7" t="s">
        <v>360</v>
      </c>
      <c r="G704" s="7" t="e">
        <f t="shared" ca="1" si="24"/>
        <v>#NAME?</v>
      </c>
      <c r="H704" s="24" t="s">
        <v>145</v>
      </c>
      <c r="I704" s="24" t="s">
        <v>208</v>
      </c>
      <c r="J704" s="7" t="str">
        <f t="shared" si="30"/>
        <v>Não</v>
      </c>
      <c r="K704" s="25">
        <v>45218</v>
      </c>
      <c r="L704" s="7"/>
      <c r="M704" s="7" t="s">
        <v>156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171</v>
      </c>
      <c r="T704" s="7" t="s">
        <v>2390</v>
      </c>
      <c r="U704" s="7" t="s">
        <v>20</v>
      </c>
      <c r="V704" s="24" t="e">
        <f t="shared" ca="1" si="25"/>
        <v>#NAME?</v>
      </c>
      <c r="W704" s="7"/>
      <c r="X704" s="7"/>
      <c r="Y704" s="29" t="s">
        <v>129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2391</v>
      </c>
      <c r="C705" s="39" t="s">
        <v>2392</v>
      </c>
      <c r="D705" s="7" t="s">
        <v>19</v>
      </c>
      <c r="E705" s="7" t="s">
        <v>20</v>
      </c>
      <c r="F705" s="7" t="s">
        <v>720</v>
      </c>
      <c r="G705" s="7" t="e">
        <f t="shared" ca="1" si="24"/>
        <v>#NAME?</v>
      </c>
      <c r="H705" s="24" t="s">
        <v>145</v>
      </c>
      <c r="I705" s="24" t="s">
        <v>229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2393</v>
      </c>
      <c r="R705" s="90"/>
      <c r="S705" s="7" t="s">
        <v>127</v>
      </c>
      <c r="T705" s="6" t="s">
        <v>2394</v>
      </c>
      <c r="U705" s="7" t="s">
        <v>20</v>
      </c>
      <c r="V705" s="24" t="e">
        <f t="shared" ca="1" si="25"/>
        <v>#NAME?</v>
      </c>
      <c r="W705" s="7"/>
      <c r="X705" s="7"/>
      <c r="Y705" s="29" t="s">
        <v>129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2395</v>
      </c>
      <c r="C706" s="4" t="s">
        <v>2396</v>
      </c>
      <c r="D706" s="7" t="s">
        <v>19</v>
      </c>
      <c r="E706" s="7" t="s">
        <v>35</v>
      </c>
      <c r="F706" s="7" t="s">
        <v>199</v>
      </c>
      <c r="G706" s="7" t="e">
        <f t="shared" ca="1" si="24"/>
        <v>#NAME?</v>
      </c>
      <c r="H706" s="24" t="s">
        <v>134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2397</v>
      </c>
      <c r="S706" s="7" t="s">
        <v>127</v>
      </c>
      <c r="T706" s="7" t="s">
        <v>2398</v>
      </c>
      <c r="U706" s="7" t="s">
        <v>202</v>
      </c>
      <c r="V706" s="24" t="e">
        <f t="shared" ca="1" si="25"/>
        <v>#NAME?</v>
      </c>
      <c r="W706" s="7"/>
      <c r="X706" s="7"/>
      <c r="Y706" s="29" t="s">
        <v>129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2399</v>
      </c>
      <c r="C707" s="4" t="s">
        <v>2400</v>
      </c>
      <c r="D707" s="7" t="s">
        <v>19</v>
      </c>
      <c r="E707" s="7" t="s">
        <v>20</v>
      </c>
      <c r="F707" s="7" t="s">
        <v>360</v>
      </c>
      <c r="G707" s="7" t="e">
        <f t="shared" ca="1" si="24"/>
        <v>#NAME?</v>
      </c>
      <c r="H707" s="24" t="s">
        <v>145</v>
      </c>
      <c r="I707" s="24" t="s">
        <v>208</v>
      </c>
      <c r="J707" s="7" t="str">
        <f t="shared" si="31"/>
        <v>Não</v>
      </c>
      <c r="K707" s="25">
        <v>45159</v>
      </c>
      <c r="L707" s="25"/>
      <c r="M707" s="7" t="s">
        <v>156</v>
      </c>
      <c r="N707" s="26">
        <v>0</v>
      </c>
      <c r="O707" s="7" t="s">
        <v>25</v>
      </c>
      <c r="P707" s="27">
        <v>0</v>
      </c>
      <c r="Q707" s="90"/>
      <c r="R707" s="180" t="s">
        <v>2401</v>
      </c>
      <c r="S707" s="7" t="s">
        <v>171</v>
      </c>
      <c r="T707" s="7" t="s">
        <v>2402</v>
      </c>
      <c r="U707" s="7" t="s">
        <v>20</v>
      </c>
      <c r="V707" s="24" t="e">
        <f t="shared" ca="1" si="25"/>
        <v>#NAME?</v>
      </c>
      <c r="W707" s="7"/>
      <c r="X707" s="7"/>
      <c r="Y707" s="29" t="s">
        <v>129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2403</v>
      </c>
      <c r="C708" s="4" t="s">
        <v>2404</v>
      </c>
      <c r="D708" s="7" t="s">
        <v>132</v>
      </c>
      <c r="E708" s="7" t="s">
        <v>66</v>
      </c>
      <c r="F708" s="7" t="s">
        <v>133</v>
      </c>
      <c r="G708" s="7" t="e">
        <f t="shared" ca="1" si="24"/>
        <v>#NAME?</v>
      </c>
      <c r="H708" s="24" t="s">
        <v>134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2405</v>
      </c>
      <c r="S708" s="7" t="s">
        <v>171</v>
      </c>
      <c r="T708" s="7" t="s">
        <v>2406</v>
      </c>
      <c r="U708" s="7" t="s">
        <v>41</v>
      </c>
      <c r="V708" s="24" t="e">
        <f t="shared" ca="1" si="25"/>
        <v>#NAME?</v>
      </c>
      <c r="W708" s="7"/>
      <c r="X708" s="7" t="s">
        <v>137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2407</v>
      </c>
      <c r="C709" s="4" t="s">
        <v>2408</v>
      </c>
      <c r="D709" s="7" t="s">
        <v>19</v>
      </c>
      <c r="E709" s="7" t="s">
        <v>66</v>
      </c>
      <c r="F709" s="7" t="s">
        <v>144</v>
      </c>
      <c r="G709" s="7" t="e">
        <f t="shared" ca="1" si="24"/>
        <v>#NAME?</v>
      </c>
      <c r="H709" s="24" t="s">
        <v>134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2409</v>
      </c>
      <c r="S709" s="7" t="s">
        <v>127</v>
      </c>
      <c r="T709" s="7" t="s">
        <v>2410</v>
      </c>
      <c r="U709" s="7" t="s">
        <v>66</v>
      </c>
      <c r="V709" s="24" t="e">
        <f t="shared" ca="1" si="25"/>
        <v>#NAME?</v>
      </c>
      <c r="W709" s="7"/>
      <c r="X709" s="7"/>
      <c r="Y709" s="29" t="s">
        <v>129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2411</v>
      </c>
      <c r="C710" s="4" t="s">
        <v>2412</v>
      </c>
      <c r="D710" s="7" t="s">
        <v>19</v>
      </c>
      <c r="E710" s="7" t="s">
        <v>35</v>
      </c>
      <c r="F710" s="7" t="s">
        <v>250</v>
      </c>
      <c r="G710" s="7" t="e">
        <f t="shared" ca="1" si="24"/>
        <v>#NAME?</v>
      </c>
      <c r="H710" s="24" t="s">
        <v>134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127</v>
      </c>
      <c r="T710" s="7" t="s">
        <v>2413</v>
      </c>
      <c r="U710" s="7" t="s">
        <v>202</v>
      </c>
      <c r="V710" s="24" t="e">
        <f t="shared" ca="1" si="25"/>
        <v>#NAME?</v>
      </c>
      <c r="W710" s="7"/>
      <c r="X710" s="7"/>
      <c r="Y710" s="29" t="s">
        <v>129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2414</v>
      </c>
      <c r="C711" s="4" t="s">
        <v>2415</v>
      </c>
      <c r="D711" s="7" t="s">
        <v>19</v>
      </c>
      <c r="E711" s="7" t="s">
        <v>20</v>
      </c>
      <c r="F711" s="7" t="s">
        <v>184</v>
      </c>
      <c r="G711" s="7" t="e">
        <f t="shared" ca="1" si="24"/>
        <v>#NAME?</v>
      </c>
      <c r="H711" s="24" t="s">
        <v>134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127</v>
      </c>
      <c r="T711" s="7" t="s">
        <v>2416</v>
      </c>
      <c r="U711" s="7" t="s">
        <v>20</v>
      </c>
      <c r="V711" s="24" t="e">
        <f t="shared" ca="1" si="25"/>
        <v>#NAME?</v>
      </c>
      <c r="W711" s="7"/>
      <c r="X711" s="7"/>
      <c r="Y711" s="29" t="s">
        <v>129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2417</v>
      </c>
      <c r="C712" s="4" t="s">
        <v>2418</v>
      </c>
      <c r="D712" s="7" t="s">
        <v>19</v>
      </c>
      <c r="E712" s="7" t="s">
        <v>35</v>
      </c>
      <c r="F712" s="7" t="s">
        <v>250</v>
      </c>
      <c r="G712" s="7" t="e">
        <f t="shared" ca="1" si="24"/>
        <v>#NAME?</v>
      </c>
      <c r="H712" s="24" t="s">
        <v>145</v>
      </c>
      <c r="I712" s="24" t="s">
        <v>146</v>
      </c>
      <c r="J712" s="7" t="str">
        <f t="shared" si="31"/>
        <v>Não</v>
      </c>
      <c r="K712" s="25">
        <v>45043</v>
      </c>
      <c r="L712" s="7"/>
      <c r="M712" s="7" t="s">
        <v>245</v>
      </c>
      <c r="N712" s="26">
        <v>8.0000000000000002E-3</v>
      </c>
      <c r="O712" s="7" t="s">
        <v>246</v>
      </c>
      <c r="P712" s="27">
        <v>0.1</v>
      </c>
      <c r="Q712" s="90"/>
      <c r="R712" s="37" t="s">
        <v>2419</v>
      </c>
      <c r="S712" s="7" t="s">
        <v>127</v>
      </c>
      <c r="T712" s="7" t="s">
        <v>2420</v>
      </c>
      <c r="U712" s="7" t="s">
        <v>972</v>
      </c>
      <c r="V712" s="24" t="e">
        <f t="shared" ca="1" si="25"/>
        <v>#NAME?</v>
      </c>
      <c r="W712" s="7"/>
      <c r="X712" s="7"/>
      <c r="Y712" s="29" t="s">
        <v>129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2417</v>
      </c>
      <c r="C713" s="4" t="s">
        <v>2421</v>
      </c>
      <c r="D713" s="7" t="s">
        <v>19</v>
      </c>
      <c r="E713" s="7" t="s">
        <v>35</v>
      </c>
      <c r="F713" s="7" t="s">
        <v>250</v>
      </c>
      <c r="G713" s="7" t="e">
        <f t="shared" ca="1" si="24"/>
        <v>#NAME?</v>
      </c>
      <c r="H713" s="24" t="s">
        <v>134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242</v>
      </c>
      <c r="N713" s="26">
        <v>2.5000000000000001E-2</v>
      </c>
      <c r="O713" s="7" t="s">
        <v>167</v>
      </c>
      <c r="P713" s="27">
        <v>0.2</v>
      </c>
      <c r="Q713" s="90"/>
      <c r="R713" s="90"/>
      <c r="S713" s="7" t="s">
        <v>127</v>
      </c>
      <c r="T713" s="7" t="s">
        <v>2420</v>
      </c>
      <c r="U713" s="7" t="s">
        <v>972</v>
      </c>
      <c r="V713" s="24" t="e">
        <f t="shared" ca="1" si="25"/>
        <v>#NAME?</v>
      </c>
      <c r="W713" s="7"/>
      <c r="X713" s="7"/>
      <c r="Y713" s="29" t="s">
        <v>129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2422</v>
      </c>
      <c r="C714" s="4" t="s">
        <v>2423</v>
      </c>
      <c r="D714" s="7" t="s">
        <v>19</v>
      </c>
      <c r="E714" s="7" t="s">
        <v>20</v>
      </c>
      <c r="F714" s="7" t="s">
        <v>360</v>
      </c>
      <c r="G714" s="7" t="e">
        <f t="shared" ca="1" si="24"/>
        <v>#NAME?</v>
      </c>
      <c r="H714" s="24" t="s">
        <v>134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185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127</v>
      </c>
      <c r="T714" s="7" t="s">
        <v>2424</v>
      </c>
      <c r="U714" s="7" t="s">
        <v>20</v>
      </c>
      <c r="V714" s="24" t="e">
        <f t="shared" ca="1" si="25"/>
        <v>#NAME?</v>
      </c>
      <c r="W714" s="7"/>
      <c r="X714" s="7"/>
      <c r="Y714" s="29" t="s">
        <v>129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2425</v>
      </c>
      <c r="C715" s="4" t="s">
        <v>2426</v>
      </c>
      <c r="D715" s="7" t="s">
        <v>46</v>
      </c>
      <c r="E715" s="7" t="s">
        <v>20</v>
      </c>
      <c r="F715" s="7" t="s">
        <v>477</v>
      </c>
      <c r="G715" s="7" t="e">
        <f t="shared" ca="1" si="24"/>
        <v>#NAME?</v>
      </c>
      <c r="H715" s="24" t="s">
        <v>145</v>
      </c>
      <c r="I715" s="24" t="s">
        <v>229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692</v>
      </c>
      <c r="S715" s="7" t="s">
        <v>127</v>
      </c>
      <c r="T715" s="7" t="s">
        <v>2427</v>
      </c>
      <c r="U715" s="7" t="s">
        <v>20</v>
      </c>
      <c r="V715" s="24" t="e">
        <f t="shared" ca="1" si="25"/>
        <v>#NAME?</v>
      </c>
      <c r="W715" s="7"/>
      <c r="X715" s="7"/>
      <c r="Y715" s="29" t="s">
        <v>129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2428</v>
      </c>
      <c r="C716" s="4" t="s">
        <v>2429</v>
      </c>
      <c r="D716" s="7" t="s">
        <v>19</v>
      </c>
      <c r="E716" s="7" t="s">
        <v>20</v>
      </c>
      <c r="F716" s="7" t="s">
        <v>360</v>
      </c>
      <c r="G716" s="7" t="e">
        <f t="shared" ca="1" si="24"/>
        <v>#NAME?</v>
      </c>
      <c r="H716" s="24" t="s">
        <v>125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127</v>
      </c>
      <c r="T716" s="7" t="s">
        <v>2430</v>
      </c>
      <c r="U716" s="7" t="s">
        <v>20</v>
      </c>
      <c r="V716" s="24" t="e">
        <f t="shared" ca="1" si="25"/>
        <v>#NAME?</v>
      </c>
      <c r="W716" s="7"/>
      <c r="X716" s="7"/>
      <c r="Y716" s="29" t="s">
        <v>240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2431</v>
      </c>
      <c r="C717" s="4" t="s">
        <v>2432</v>
      </c>
      <c r="D717" s="7" t="s">
        <v>19</v>
      </c>
      <c r="E717" s="7" t="s">
        <v>20</v>
      </c>
      <c r="F717" s="7" t="s">
        <v>360</v>
      </c>
      <c r="G717" s="7" t="e">
        <f t="shared" ca="1" si="24"/>
        <v>#NAME?</v>
      </c>
      <c r="H717" s="24" t="s">
        <v>145</v>
      </c>
      <c r="I717" s="24" t="s">
        <v>229</v>
      </c>
      <c r="J717" s="7" t="str">
        <f t="shared" si="31"/>
        <v>Sim</v>
      </c>
      <c r="K717" s="25">
        <v>45155</v>
      </c>
      <c r="L717" s="25"/>
      <c r="M717" s="7" t="s">
        <v>242</v>
      </c>
      <c r="N717" s="26">
        <v>0.02</v>
      </c>
      <c r="O717" s="7" t="s">
        <v>167</v>
      </c>
      <c r="P717" s="27">
        <v>0.2</v>
      </c>
      <c r="Q717" s="28" t="s">
        <v>2433</v>
      </c>
      <c r="R717" s="90"/>
      <c r="S717" s="7" t="s">
        <v>127</v>
      </c>
      <c r="T717" s="7" t="s">
        <v>2434</v>
      </c>
      <c r="U717" s="7" t="s">
        <v>20</v>
      </c>
      <c r="V717" s="24" t="e">
        <f t="shared" ca="1" si="25"/>
        <v>#NAME?</v>
      </c>
      <c r="W717" s="7"/>
      <c r="X717" s="7"/>
      <c r="Y717" s="29" t="s">
        <v>129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2431</v>
      </c>
      <c r="C718" s="4" t="s">
        <v>2435</v>
      </c>
      <c r="D718" s="7" t="s">
        <v>19</v>
      </c>
      <c r="E718" s="7" t="s">
        <v>20</v>
      </c>
      <c r="F718" s="7" t="s">
        <v>360</v>
      </c>
      <c r="G718" s="7" t="e">
        <f t="shared" ca="1" si="24"/>
        <v>#NAME?</v>
      </c>
      <c r="H718" s="24" t="s">
        <v>145</v>
      </c>
      <c r="I718" s="24" t="s">
        <v>229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127</v>
      </c>
      <c r="T718" s="7" t="s">
        <v>2430</v>
      </c>
      <c r="U718" s="7" t="s">
        <v>20</v>
      </c>
      <c r="V718" s="24" t="e">
        <f t="shared" ca="1" si="25"/>
        <v>#NAME?</v>
      </c>
      <c r="W718" s="7"/>
      <c r="X718" s="7"/>
      <c r="Y718" s="29" t="s">
        <v>129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2436</v>
      </c>
      <c r="C719" s="4" t="s">
        <v>2437</v>
      </c>
      <c r="D719" s="7" t="s">
        <v>19</v>
      </c>
      <c r="E719" s="7" t="s">
        <v>35</v>
      </c>
      <c r="F719" s="7" t="s">
        <v>606</v>
      </c>
      <c r="G719" s="7" t="e">
        <f t="shared" ca="1" si="24"/>
        <v>#NAME?</v>
      </c>
      <c r="H719" s="24" t="s">
        <v>134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127</v>
      </c>
      <c r="T719" s="7" t="s">
        <v>2438</v>
      </c>
      <c r="U719" s="7" t="s">
        <v>41</v>
      </c>
      <c r="V719" s="24" t="e">
        <f t="shared" ca="1" si="25"/>
        <v>#NAME?</v>
      </c>
      <c r="W719" s="7"/>
      <c r="X719" s="7"/>
      <c r="Y719" s="29" t="s">
        <v>129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2439</v>
      </c>
      <c r="C720" s="4" t="s">
        <v>2440</v>
      </c>
      <c r="D720" s="7" t="s">
        <v>34</v>
      </c>
      <c r="E720" s="7" t="s">
        <v>35</v>
      </c>
      <c r="F720" s="7" t="s">
        <v>2441</v>
      </c>
      <c r="G720" s="7" t="e">
        <f t="shared" ca="1" si="24"/>
        <v>#NAME?</v>
      </c>
      <c r="H720" s="24" t="s">
        <v>134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185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127</v>
      </c>
      <c r="T720" s="7" t="s">
        <v>2442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2443</v>
      </c>
      <c r="C721" s="44" t="s">
        <v>2444</v>
      </c>
      <c r="D721" s="7" t="s">
        <v>71</v>
      </c>
      <c r="E721" s="7" t="s">
        <v>66</v>
      </c>
      <c r="F721" s="7" t="s">
        <v>72</v>
      </c>
      <c r="G721" s="7" t="e">
        <f t="shared" ca="1" si="24"/>
        <v>#NAME?</v>
      </c>
      <c r="H721" s="24" t="s">
        <v>134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127</v>
      </c>
      <c r="T721" s="12" t="s">
        <v>2445</v>
      </c>
      <c r="U721" s="7" t="s">
        <v>20</v>
      </c>
      <c r="V721" s="24" t="e">
        <f t="shared" ca="1" si="25"/>
        <v>#NAME?</v>
      </c>
      <c r="W721" s="7"/>
      <c r="X721" s="7"/>
      <c r="Y721" s="29" t="s">
        <v>129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2446</v>
      </c>
      <c r="C722" s="44" t="s">
        <v>2447</v>
      </c>
      <c r="D722" s="7" t="s">
        <v>19</v>
      </c>
      <c r="E722" s="7" t="s">
        <v>20</v>
      </c>
      <c r="F722" s="7" t="s">
        <v>257</v>
      </c>
      <c r="G722" s="7" t="e">
        <f t="shared" ca="1" si="24"/>
        <v>#NAME?</v>
      </c>
      <c r="H722" s="24" t="s">
        <v>145</v>
      </c>
      <c r="I722" s="24" t="s">
        <v>229</v>
      </c>
      <c r="J722" s="7" t="str">
        <f t="shared" si="31"/>
        <v>Não</v>
      </c>
      <c r="K722" s="25">
        <v>45369</v>
      </c>
      <c r="L722" s="25"/>
      <c r="M722" s="7" t="s">
        <v>185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127</v>
      </c>
      <c r="T722" s="7" t="s">
        <v>2448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129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2446</v>
      </c>
      <c r="C723" s="44" t="s">
        <v>2449</v>
      </c>
      <c r="D723" s="7" t="s">
        <v>19</v>
      </c>
      <c r="E723" s="7" t="s">
        <v>20</v>
      </c>
      <c r="F723" s="7" t="s">
        <v>257</v>
      </c>
      <c r="G723" s="7" t="e">
        <f t="shared" ca="1" si="24"/>
        <v>#NAME?</v>
      </c>
      <c r="H723" s="24" t="s">
        <v>145</v>
      </c>
      <c r="I723" s="24" t="s">
        <v>229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127</v>
      </c>
      <c r="T723" s="7" t="s">
        <v>2448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129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2450</v>
      </c>
      <c r="C724" s="44" t="s">
        <v>2451</v>
      </c>
      <c r="D724" s="7" t="s">
        <v>46</v>
      </c>
      <c r="E724" s="7" t="s">
        <v>20</v>
      </c>
      <c r="F724" s="7" t="s">
        <v>477</v>
      </c>
      <c r="G724" s="7" t="e">
        <f t="shared" ca="1" si="24"/>
        <v>#NAME?</v>
      </c>
      <c r="H724" s="24" t="s">
        <v>125</v>
      </c>
      <c r="I724" s="24" t="s">
        <v>25</v>
      </c>
      <c r="J724" s="7" t="s">
        <v>165</v>
      </c>
      <c r="K724" s="25">
        <v>45359</v>
      </c>
      <c r="L724" s="25">
        <v>45517</v>
      </c>
      <c r="M724" s="7" t="s">
        <v>338</v>
      </c>
      <c r="N724" s="26">
        <v>8.0000000000000002E-3</v>
      </c>
      <c r="O724" s="7" t="s">
        <v>25</v>
      </c>
      <c r="P724" s="27">
        <v>0</v>
      </c>
      <c r="Q724" s="90"/>
      <c r="R724" s="138" t="s">
        <v>692</v>
      </c>
      <c r="S724" s="7" t="s">
        <v>127</v>
      </c>
      <c r="T724" s="7" t="s">
        <v>2452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2453</v>
      </c>
      <c r="C725" s="4" t="s">
        <v>2454</v>
      </c>
      <c r="D725" s="7" t="s">
        <v>19</v>
      </c>
      <c r="E725" s="7" t="s">
        <v>66</v>
      </c>
      <c r="F725" s="7" t="s">
        <v>144</v>
      </c>
      <c r="G725" s="7" t="e">
        <f t="shared" ca="1" si="24"/>
        <v>#NAME?</v>
      </c>
      <c r="H725" s="24" t="s">
        <v>134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200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2455</v>
      </c>
      <c r="S725" s="7" t="s">
        <v>127</v>
      </c>
      <c r="T725" s="7" t="s">
        <v>2456</v>
      </c>
      <c r="U725" s="7" t="s">
        <v>1238</v>
      </c>
      <c r="V725" s="24" t="e">
        <f t="shared" ca="1" si="25"/>
        <v>#NAME?</v>
      </c>
      <c r="W725" s="7"/>
      <c r="X725" s="7"/>
      <c r="Y725" s="29" t="s">
        <v>240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2457</v>
      </c>
      <c r="C726" s="4" t="s">
        <v>2458</v>
      </c>
      <c r="D726" s="7" t="s">
        <v>19</v>
      </c>
      <c r="E726" s="7" t="s">
        <v>35</v>
      </c>
      <c r="F726" s="7" t="s">
        <v>250</v>
      </c>
      <c r="G726" s="7" t="e">
        <f t="shared" ca="1" si="24"/>
        <v>#NAME?</v>
      </c>
      <c r="H726" s="24" t="s">
        <v>134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242</v>
      </c>
      <c r="N726" s="26">
        <v>2.5000000000000001E-2</v>
      </c>
      <c r="O726" s="7" t="s">
        <v>167</v>
      </c>
      <c r="P726" s="27">
        <v>0.2</v>
      </c>
      <c r="Q726" s="90"/>
      <c r="R726" s="90"/>
      <c r="S726" s="7" t="s">
        <v>127</v>
      </c>
      <c r="T726" s="7" t="s">
        <v>2459</v>
      </c>
      <c r="U726" s="7" t="s">
        <v>202</v>
      </c>
      <c r="V726" s="24" t="e">
        <f t="shared" ca="1" si="25"/>
        <v>#NAME?</v>
      </c>
      <c r="W726" s="7"/>
      <c r="X726" s="7"/>
      <c r="Y726" s="29" t="s">
        <v>129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2460</v>
      </c>
      <c r="C727" s="4" t="s">
        <v>2461</v>
      </c>
      <c r="D727" s="7" t="s">
        <v>19</v>
      </c>
      <c r="E727" s="7" t="s">
        <v>20</v>
      </c>
      <c r="F727" s="7" t="s">
        <v>184</v>
      </c>
      <c r="G727" s="7" t="e">
        <f t="shared" ca="1" si="24"/>
        <v>#NAME?</v>
      </c>
      <c r="H727" s="24" t="s">
        <v>145</v>
      </c>
      <c r="I727" s="24" t="s">
        <v>146</v>
      </c>
      <c r="J727" s="7" t="str">
        <f t="shared" si="32"/>
        <v>Não</v>
      </c>
      <c r="K727" s="25">
        <v>45042</v>
      </c>
      <c r="L727" s="7"/>
      <c r="M727" s="7" t="s">
        <v>185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127</v>
      </c>
      <c r="T727" s="7" t="s">
        <v>2462</v>
      </c>
      <c r="U727" s="7" t="s">
        <v>20</v>
      </c>
      <c r="V727" s="24" t="e">
        <f t="shared" ca="1" si="25"/>
        <v>#NAME?</v>
      </c>
      <c r="W727" s="7"/>
      <c r="X727" s="7"/>
      <c r="Y727" s="29" t="s">
        <v>129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2463</v>
      </c>
      <c r="C728" s="4" t="s">
        <v>2464</v>
      </c>
      <c r="D728" s="7" t="s">
        <v>19</v>
      </c>
      <c r="E728" s="7" t="s">
        <v>66</v>
      </c>
      <c r="F728" s="7" t="s">
        <v>316</v>
      </c>
      <c r="G728" s="7" t="e">
        <f t="shared" ca="1" si="24"/>
        <v>#NAME?</v>
      </c>
      <c r="H728" s="24" t="s">
        <v>145</v>
      </c>
      <c r="I728" s="24" t="s">
        <v>146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1499</v>
      </c>
      <c r="S728" s="7" t="s">
        <v>127</v>
      </c>
      <c r="T728" s="7" t="s">
        <v>2465</v>
      </c>
      <c r="U728" s="7" t="s">
        <v>20</v>
      </c>
      <c r="V728" s="24" t="e">
        <f t="shared" ca="1" si="25"/>
        <v>#NAME?</v>
      </c>
      <c r="W728" s="7"/>
      <c r="X728" s="7"/>
      <c r="Y728" s="29" t="s">
        <v>129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2466</v>
      </c>
      <c r="C729" s="4" t="s">
        <v>2467</v>
      </c>
      <c r="D729" s="7" t="s">
        <v>46</v>
      </c>
      <c r="E729" s="7" t="s">
        <v>20</v>
      </c>
      <c r="F729" s="7" t="s">
        <v>277</v>
      </c>
      <c r="G729" s="7" t="e">
        <f t="shared" ca="1" si="24"/>
        <v>#NAME?</v>
      </c>
      <c r="H729" s="24" t="s">
        <v>145</v>
      </c>
      <c r="I729" s="24" t="s">
        <v>229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127</v>
      </c>
      <c r="T729" s="7" t="s">
        <v>2468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2469</v>
      </c>
      <c r="C730" s="4" t="s">
        <v>2470</v>
      </c>
      <c r="D730" s="7" t="s">
        <v>19</v>
      </c>
      <c r="E730" s="7" t="s">
        <v>66</v>
      </c>
      <c r="F730" s="7" t="s">
        <v>144</v>
      </c>
      <c r="G730" s="7" t="e">
        <f t="shared" ca="1" si="24"/>
        <v>#NAME?</v>
      </c>
      <c r="H730" s="24" t="s">
        <v>134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127</v>
      </c>
      <c r="T730" s="7" t="s">
        <v>2471</v>
      </c>
      <c r="U730" s="7" t="s">
        <v>1238</v>
      </c>
      <c r="V730" s="24" t="e">
        <f t="shared" ca="1" si="25"/>
        <v>#NAME?</v>
      </c>
      <c r="W730" s="7"/>
      <c r="X730" s="7"/>
      <c r="Y730" s="29" t="s">
        <v>129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2472</v>
      </c>
      <c r="C731" s="4" t="s">
        <v>2473</v>
      </c>
      <c r="D731" s="7" t="s">
        <v>46</v>
      </c>
      <c r="E731" s="7" t="s">
        <v>20</v>
      </c>
      <c r="F731" s="7" t="s">
        <v>124</v>
      </c>
      <c r="G731" s="7" t="e">
        <f t="shared" ca="1" si="24"/>
        <v>#NAME?</v>
      </c>
      <c r="H731" s="24" t="s">
        <v>125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2474</v>
      </c>
      <c r="N731" s="26">
        <v>1.4E-2</v>
      </c>
      <c r="O731" s="7" t="s">
        <v>39</v>
      </c>
      <c r="P731" s="27">
        <v>0.1</v>
      </c>
      <c r="Q731" s="45"/>
      <c r="R731" s="45" t="s">
        <v>297</v>
      </c>
      <c r="S731" s="7" t="s">
        <v>127</v>
      </c>
      <c r="T731" s="7" t="s">
        <v>2475</v>
      </c>
      <c r="U731" s="7" t="s">
        <v>20</v>
      </c>
      <c r="V731" s="24" t="e">
        <f t="shared" ca="1" si="25"/>
        <v>#NAME?</v>
      </c>
      <c r="W731" s="7"/>
      <c r="X731" s="7"/>
      <c r="Y731" s="29" t="s">
        <v>240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2476</v>
      </c>
      <c r="C732" s="4" t="s">
        <v>2477</v>
      </c>
      <c r="D732" s="7" t="s">
        <v>19</v>
      </c>
      <c r="E732" s="7" t="s">
        <v>66</v>
      </c>
      <c r="F732" s="7" t="s">
        <v>316</v>
      </c>
      <c r="G732" s="7" t="e">
        <f t="shared" ca="1" si="24"/>
        <v>#NAME?</v>
      </c>
      <c r="H732" s="24" t="s">
        <v>134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127</v>
      </c>
      <c r="T732" s="7" t="s">
        <v>2478</v>
      </c>
      <c r="U732" s="7" t="s">
        <v>66</v>
      </c>
      <c r="V732" s="24" t="e">
        <f t="shared" ca="1" si="25"/>
        <v>#NAME?</v>
      </c>
      <c r="W732" s="7"/>
      <c r="X732" s="7"/>
      <c r="Y732" s="29" t="s">
        <v>240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2479</v>
      </c>
      <c r="C733" s="4" t="s">
        <v>2480</v>
      </c>
      <c r="D733" s="7" t="s">
        <v>19</v>
      </c>
      <c r="E733" s="7" t="s">
        <v>35</v>
      </c>
      <c r="F733" s="7" t="s">
        <v>199</v>
      </c>
      <c r="G733" s="7" t="e">
        <f t="shared" ca="1" si="24"/>
        <v>#NAME?</v>
      </c>
      <c r="H733" s="24" t="s">
        <v>134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185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127</v>
      </c>
      <c r="T733" s="7" t="s">
        <v>2481</v>
      </c>
      <c r="U733" s="7" t="s">
        <v>41</v>
      </c>
      <c r="V733" s="24" t="e">
        <f t="shared" ca="1" si="25"/>
        <v>#NAME?</v>
      </c>
      <c r="W733" s="7"/>
      <c r="X733" s="7"/>
      <c r="Y733" s="29" t="s">
        <v>129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2482</v>
      </c>
      <c r="C734" s="4" t="s">
        <v>2483</v>
      </c>
      <c r="D734" s="7" t="s">
        <v>19</v>
      </c>
      <c r="E734" s="7" t="s">
        <v>35</v>
      </c>
      <c r="F734" s="7" t="s">
        <v>250</v>
      </c>
      <c r="G734" s="7" t="e">
        <f t="shared" ca="1" si="24"/>
        <v>#NAME?</v>
      </c>
      <c r="H734" s="24" t="s">
        <v>145</v>
      </c>
      <c r="I734" s="24" t="s">
        <v>146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2484</v>
      </c>
      <c r="S734" s="7" t="s">
        <v>127</v>
      </c>
      <c r="T734" s="7" t="s">
        <v>2485</v>
      </c>
      <c r="U734" s="7" t="s">
        <v>41</v>
      </c>
      <c r="V734" s="24" t="e">
        <f t="shared" ca="1" si="25"/>
        <v>#NAME?</v>
      </c>
      <c r="W734" s="7"/>
      <c r="X734" s="7"/>
      <c r="Y734" s="29" t="s">
        <v>440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2482</v>
      </c>
      <c r="C735" s="4" t="s">
        <v>2486</v>
      </c>
      <c r="D735" s="7" t="s">
        <v>19</v>
      </c>
      <c r="E735" s="7" t="s">
        <v>35</v>
      </c>
      <c r="F735" s="7" t="s">
        <v>250</v>
      </c>
      <c r="G735" s="7" t="e">
        <f t="shared" ca="1" si="24"/>
        <v>#NAME?</v>
      </c>
      <c r="H735" s="24" t="s">
        <v>134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185</v>
      </c>
      <c r="N735" s="26">
        <v>1.4999999999999999E-2</v>
      </c>
      <c r="O735" s="7" t="s">
        <v>39</v>
      </c>
      <c r="P735" s="27">
        <v>0.1</v>
      </c>
      <c r="Q735" s="90"/>
      <c r="R735" s="28" t="s">
        <v>2487</v>
      </c>
      <c r="S735" s="7" t="s">
        <v>127</v>
      </c>
      <c r="T735" s="7" t="s">
        <v>2485</v>
      </c>
      <c r="U735" s="7" t="s">
        <v>41</v>
      </c>
      <c r="V735" s="24" t="e">
        <f t="shared" ca="1" si="25"/>
        <v>#NAME?</v>
      </c>
      <c r="W735" s="7"/>
      <c r="X735" s="7"/>
      <c r="Y735" s="29" t="s">
        <v>129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2488</v>
      </c>
      <c r="C736" s="39" t="s">
        <v>2489</v>
      </c>
      <c r="D736" s="7" t="s">
        <v>55</v>
      </c>
      <c r="E736" s="7" t="s">
        <v>20</v>
      </c>
      <c r="F736" s="7" t="s">
        <v>374</v>
      </c>
      <c r="G736" s="7" t="e">
        <f t="shared" ca="1" si="24"/>
        <v>#NAME?</v>
      </c>
      <c r="H736" s="24" t="s">
        <v>134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2490</v>
      </c>
      <c r="R736" s="28"/>
      <c r="S736" s="7" t="s">
        <v>127</v>
      </c>
      <c r="T736" s="12" t="s">
        <v>2491</v>
      </c>
      <c r="U736" s="7" t="s">
        <v>20</v>
      </c>
      <c r="V736" s="24" t="e">
        <f t="shared" ca="1" si="25"/>
        <v>#NAME?</v>
      </c>
      <c r="W736" s="7"/>
      <c r="X736" s="7"/>
      <c r="Y736" s="29" t="s">
        <v>129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2492</v>
      </c>
      <c r="C737" s="4" t="s">
        <v>2493</v>
      </c>
      <c r="D737" s="7" t="s">
        <v>19</v>
      </c>
      <c r="E737" s="7" t="s">
        <v>66</v>
      </c>
      <c r="F737" s="7" t="s">
        <v>265</v>
      </c>
      <c r="G737" s="7" t="e">
        <f t="shared" ca="1" si="24"/>
        <v>#NAME?</v>
      </c>
      <c r="H737" s="24" t="s">
        <v>145</v>
      </c>
      <c r="I737" s="24" t="s">
        <v>208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127</v>
      </c>
      <c r="T737" s="7" t="s">
        <v>2494</v>
      </c>
      <c r="U737" s="7" t="s">
        <v>66</v>
      </c>
      <c r="V737" s="24" t="e">
        <f t="shared" ca="1" si="25"/>
        <v>#NAME?</v>
      </c>
      <c r="W737" s="7"/>
      <c r="X737" s="7"/>
      <c r="Y737" s="29" t="s">
        <v>129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2495</v>
      </c>
      <c r="C738" s="41" t="s">
        <v>2496</v>
      </c>
      <c r="D738" s="7" t="s">
        <v>19</v>
      </c>
      <c r="E738" s="7" t="s">
        <v>35</v>
      </c>
      <c r="F738" s="7" t="s">
        <v>199</v>
      </c>
      <c r="G738" s="7" t="e">
        <f t="shared" ca="1" si="24"/>
        <v>#NAME?</v>
      </c>
      <c r="H738" s="24" t="s">
        <v>134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127</v>
      </c>
      <c r="T738" s="7" t="s">
        <v>2497</v>
      </c>
      <c r="U738" s="7" t="s">
        <v>202</v>
      </c>
      <c r="V738" s="24" t="e">
        <f t="shared" ca="1" si="25"/>
        <v>#NAME?</v>
      </c>
      <c r="W738" s="7"/>
      <c r="X738" s="7"/>
      <c r="Y738" s="29" t="s">
        <v>129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2498</v>
      </c>
      <c r="C739" s="4" t="s">
        <v>2499</v>
      </c>
      <c r="D739" s="7" t="s">
        <v>19</v>
      </c>
      <c r="E739" s="7" t="s">
        <v>20</v>
      </c>
      <c r="F739" s="7" t="s">
        <v>360</v>
      </c>
      <c r="G739" s="7" t="e">
        <f t="shared" ca="1" si="24"/>
        <v>#NAME?</v>
      </c>
      <c r="H739" s="24" t="s">
        <v>145</v>
      </c>
      <c r="I739" s="24" t="s">
        <v>146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127</v>
      </c>
      <c r="T739" s="7" t="s">
        <v>2500</v>
      </c>
      <c r="U739" s="7" t="s">
        <v>20</v>
      </c>
      <c r="V739" s="24" t="e">
        <f t="shared" ca="1" si="25"/>
        <v>#NAME?</v>
      </c>
      <c r="W739" s="7"/>
      <c r="X739" s="7"/>
      <c r="Y739" s="29" t="s">
        <v>129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2498</v>
      </c>
      <c r="C740" s="4" t="s">
        <v>2501</v>
      </c>
      <c r="D740" s="7" t="s">
        <v>19</v>
      </c>
      <c r="E740" s="7" t="s">
        <v>20</v>
      </c>
      <c r="F740" s="7" t="s">
        <v>360</v>
      </c>
      <c r="G740" s="7" t="e">
        <f t="shared" ca="1" si="24"/>
        <v>#NAME?</v>
      </c>
      <c r="H740" s="24" t="s">
        <v>145</v>
      </c>
      <c r="I740" s="24" t="s">
        <v>208</v>
      </c>
      <c r="J740" s="7" t="str">
        <f t="shared" si="32"/>
        <v>Não</v>
      </c>
      <c r="K740" s="25">
        <v>45163</v>
      </c>
      <c r="L740" s="25"/>
      <c r="M740" s="7" t="s">
        <v>156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127</v>
      </c>
      <c r="T740" s="7" t="s">
        <v>2500</v>
      </c>
      <c r="U740" s="7" t="s">
        <v>20</v>
      </c>
      <c r="V740" s="24" t="e">
        <f t="shared" ca="1" si="25"/>
        <v>#NAME?</v>
      </c>
      <c r="W740" s="7"/>
      <c r="X740" s="7"/>
      <c r="Y740" s="29" t="s">
        <v>129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2498</v>
      </c>
      <c r="C741" s="4" t="s">
        <v>2502</v>
      </c>
      <c r="D741" s="7" t="s">
        <v>19</v>
      </c>
      <c r="E741" s="7" t="s">
        <v>20</v>
      </c>
      <c r="F741" s="7" t="s">
        <v>360</v>
      </c>
      <c r="G741" s="7" t="e">
        <f t="shared" ca="1" si="24"/>
        <v>#NAME?</v>
      </c>
      <c r="H741" s="24" t="s">
        <v>145</v>
      </c>
      <c r="I741" s="24" t="s">
        <v>208</v>
      </c>
      <c r="J741" s="7" t="str">
        <f t="shared" si="32"/>
        <v>Não</v>
      </c>
      <c r="K741" s="25">
        <v>45163</v>
      </c>
      <c r="L741" s="25"/>
      <c r="M741" s="7" t="s">
        <v>156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127</v>
      </c>
      <c r="T741" s="7" t="s">
        <v>2500</v>
      </c>
      <c r="U741" s="7" t="s">
        <v>20</v>
      </c>
      <c r="V741" s="24" t="e">
        <f t="shared" ca="1" si="25"/>
        <v>#NAME?</v>
      </c>
      <c r="W741" s="7"/>
      <c r="X741" s="7"/>
      <c r="Y741" s="29" t="s">
        <v>129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2503</v>
      </c>
      <c r="C742" s="4" t="s">
        <v>2504</v>
      </c>
      <c r="D742" s="7" t="s">
        <v>19</v>
      </c>
      <c r="E742" s="7" t="s">
        <v>20</v>
      </c>
      <c r="F742" s="7" t="s">
        <v>360</v>
      </c>
      <c r="G742" s="7" t="e">
        <f t="shared" ca="1" si="24"/>
        <v>#NAME?</v>
      </c>
      <c r="H742" s="24" t="s">
        <v>134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156</v>
      </c>
      <c r="N742" s="26">
        <v>0</v>
      </c>
      <c r="O742" s="7" t="s">
        <v>25</v>
      </c>
      <c r="P742" s="27">
        <v>0</v>
      </c>
      <c r="Q742" s="28"/>
      <c r="R742" s="28" t="s">
        <v>705</v>
      </c>
      <c r="S742" s="7" t="s">
        <v>127</v>
      </c>
      <c r="T742" s="7" t="s">
        <v>2505</v>
      </c>
      <c r="U742" s="7" t="s">
        <v>20</v>
      </c>
      <c r="V742" s="24" t="e">
        <f t="shared" ca="1" si="25"/>
        <v>#NAME?</v>
      </c>
      <c r="W742" s="7"/>
      <c r="X742" s="7"/>
      <c r="Y742" s="29" t="s">
        <v>129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2506</v>
      </c>
      <c r="C743" s="39" t="s">
        <v>2507</v>
      </c>
      <c r="D743" s="7" t="s">
        <v>55</v>
      </c>
      <c r="E743" s="7" t="s">
        <v>20</v>
      </c>
      <c r="F743" s="7" t="s">
        <v>325</v>
      </c>
      <c r="G743" s="7" t="e">
        <f t="shared" ca="1" si="24"/>
        <v>#NAME?</v>
      </c>
      <c r="H743" s="24" t="s">
        <v>134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127</v>
      </c>
      <c r="T743" s="12" t="s">
        <v>2508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129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2509</v>
      </c>
      <c r="C744" s="4" t="s">
        <v>2510</v>
      </c>
      <c r="D744" s="7" t="s">
        <v>19</v>
      </c>
      <c r="E744" s="7" t="s">
        <v>66</v>
      </c>
      <c r="F744" s="7" t="s">
        <v>316</v>
      </c>
      <c r="G744" s="7" t="e">
        <f t="shared" ca="1" si="24"/>
        <v>#NAME?</v>
      </c>
      <c r="H744" s="24" t="s">
        <v>145</v>
      </c>
      <c r="I744" s="24" t="s">
        <v>146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127</v>
      </c>
      <c r="T744" s="7" t="s">
        <v>2511</v>
      </c>
      <c r="U744" s="7" t="s">
        <v>20</v>
      </c>
      <c r="V744" s="24" t="e">
        <f t="shared" ca="1" si="25"/>
        <v>#NAME?</v>
      </c>
      <c r="W744" s="7"/>
      <c r="X744" s="7"/>
      <c r="Y744" s="29" t="s">
        <v>129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2512</v>
      </c>
      <c r="C745" s="4" t="s">
        <v>2513</v>
      </c>
      <c r="D745" s="7" t="s">
        <v>46</v>
      </c>
      <c r="E745" s="7" t="s">
        <v>20</v>
      </c>
      <c r="F745" s="7" t="s">
        <v>189</v>
      </c>
      <c r="G745" s="7" t="e">
        <f t="shared" ca="1" si="24"/>
        <v>#NAME?</v>
      </c>
      <c r="H745" s="24" t="s">
        <v>145</v>
      </c>
      <c r="I745" s="24" t="s">
        <v>190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2514</v>
      </c>
      <c r="R745" s="90"/>
      <c r="S745" s="7" t="s">
        <v>127</v>
      </c>
      <c r="T745" s="7" t="s">
        <v>2515</v>
      </c>
      <c r="U745" s="7" t="s">
        <v>48</v>
      </c>
      <c r="V745" s="24" t="e">
        <f t="shared" ca="1" si="25"/>
        <v>#NAME?</v>
      </c>
      <c r="W745" s="7"/>
      <c r="X745" s="7"/>
      <c r="Y745" s="29" t="s">
        <v>129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2516</v>
      </c>
      <c r="C746" s="4" t="s">
        <v>2517</v>
      </c>
      <c r="D746" s="7" t="s">
        <v>19</v>
      </c>
      <c r="E746" s="7" t="s">
        <v>20</v>
      </c>
      <c r="F746" s="7" t="s">
        <v>2518</v>
      </c>
      <c r="G746" s="7" t="e">
        <f t="shared" ca="1" si="24"/>
        <v>#NAME?</v>
      </c>
      <c r="H746" s="24" t="s">
        <v>145</v>
      </c>
      <c r="I746" s="24" t="s">
        <v>208</v>
      </c>
      <c r="J746" s="7" t="str">
        <f t="shared" si="32"/>
        <v>Não</v>
      </c>
      <c r="K746" s="25">
        <v>44998</v>
      </c>
      <c r="L746" s="7"/>
      <c r="M746" s="7" t="s">
        <v>333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127</v>
      </c>
      <c r="T746" s="7" t="s">
        <v>2519</v>
      </c>
      <c r="U746" s="7" t="s">
        <v>20</v>
      </c>
      <c r="V746" s="24" t="e">
        <f t="shared" ca="1" si="25"/>
        <v>#NAME?</v>
      </c>
      <c r="W746" s="7"/>
      <c r="X746" s="7"/>
      <c r="Y746" s="29" t="s">
        <v>129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2520</v>
      </c>
      <c r="C747" s="4" t="s">
        <v>2521</v>
      </c>
      <c r="D747" s="7" t="s">
        <v>19</v>
      </c>
      <c r="E747" s="7" t="s">
        <v>66</v>
      </c>
      <c r="F747" s="7" t="s">
        <v>316</v>
      </c>
      <c r="G747" s="7" t="e">
        <f t="shared" ca="1" si="24"/>
        <v>#NAME?</v>
      </c>
      <c r="H747" s="24" t="s">
        <v>145</v>
      </c>
      <c r="I747" s="24" t="s">
        <v>146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127</v>
      </c>
      <c r="T747" s="7" t="s">
        <v>2522</v>
      </c>
      <c r="U747" s="7" t="s">
        <v>66</v>
      </c>
      <c r="V747" s="24" t="e">
        <f t="shared" ca="1" si="25"/>
        <v>#NAME?</v>
      </c>
      <c r="W747" s="7"/>
      <c r="X747" s="7"/>
      <c r="Y747" s="29" t="s">
        <v>129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2523</v>
      </c>
      <c r="C748" s="4" t="s">
        <v>2524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134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127</v>
      </c>
      <c r="T748" s="7" t="s">
        <v>2525</v>
      </c>
      <c r="U748" s="7" t="s">
        <v>20</v>
      </c>
      <c r="V748" s="24" t="e">
        <f t="shared" ca="1" si="25"/>
        <v>#NAME?</v>
      </c>
      <c r="W748" s="7"/>
      <c r="X748" s="7"/>
      <c r="Y748" s="29" t="s">
        <v>129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2526</v>
      </c>
      <c r="C749" s="4" t="s">
        <v>2527</v>
      </c>
      <c r="D749" s="7" t="s">
        <v>19</v>
      </c>
      <c r="E749" s="7" t="s">
        <v>66</v>
      </c>
      <c r="F749" s="7" t="s">
        <v>316</v>
      </c>
      <c r="G749" s="7" t="e">
        <f t="shared" ca="1" si="24"/>
        <v>#NAME?</v>
      </c>
      <c r="H749" s="24" t="s">
        <v>145</v>
      </c>
      <c r="I749" s="24" t="s">
        <v>146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2528</v>
      </c>
      <c r="S749" s="7" t="s">
        <v>127</v>
      </c>
      <c r="T749" s="7" t="s">
        <v>2529</v>
      </c>
      <c r="U749" s="7" t="s">
        <v>66</v>
      </c>
      <c r="V749" s="24" t="e">
        <f t="shared" ca="1" si="25"/>
        <v>#NAME?</v>
      </c>
      <c r="W749" s="7"/>
      <c r="X749" s="7"/>
      <c r="Y749" s="29" t="s">
        <v>129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2530</v>
      </c>
      <c r="C750" s="4" t="s">
        <v>2531</v>
      </c>
      <c r="D750" s="7" t="s">
        <v>19</v>
      </c>
      <c r="E750" s="7" t="s">
        <v>66</v>
      </c>
      <c r="F750" s="7" t="s">
        <v>265</v>
      </c>
      <c r="G750" s="7" t="e">
        <f t="shared" ca="1" si="24"/>
        <v>#NAME?</v>
      </c>
      <c r="H750" s="24" t="s">
        <v>145</v>
      </c>
      <c r="I750" s="24" t="s">
        <v>146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2532</v>
      </c>
      <c r="S750" s="7" t="s">
        <v>127</v>
      </c>
      <c r="T750" s="7" t="s">
        <v>2533</v>
      </c>
      <c r="U750" s="7" t="s">
        <v>66</v>
      </c>
      <c r="V750" s="24" t="e">
        <f t="shared" ca="1" si="25"/>
        <v>#NAME?</v>
      </c>
      <c r="W750" s="7"/>
      <c r="X750" s="7"/>
      <c r="Y750" s="29" t="s">
        <v>129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2534</v>
      </c>
      <c r="C751" s="4" t="s">
        <v>2535</v>
      </c>
      <c r="D751" s="7" t="s">
        <v>19</v>
      </c>
      <c r="E751" s="7" t="s">
        <v>66</v>
      </c>
      <c r="F751" s="7" t="s">
        <v>144</v>
      </c>
      <c r="G751" s="7" t="e">
        <f t="shared" ca="1" si="24"/>
        <v>#NAME?</v>
      </c>
      <c r="H751" s="24" t="s">
        <v>134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2536</v>
      </c>
      <c r="R751" s="28"/>
      <c r="S751" s="7" t="s">
        <v>127</v>
      </c>
      <c r="T751" s="7" t="s">
        <v>2537</v>
      </c>
      <c r="U751" s="7" t="s">
        <v>66</v>
      </c>
      <c r="V751" s="24" t="e">
        <f t="shared" ca="1" si="25"/>
        <v>#NAME?</v>
      </c>
      <c r="W751" s="7"/>
      <c r="X751" s="7"/>
      <c r="Y751" s="29" t="s">
        <v>129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2538</v>
      </c>
      <c r="C752" s="4" t="s">
        <v>2539</v>
      </c>
      <c r="D752" s="7" t="s">
        <v>19</v>
      </c>
      <c r="E752" s="7" t="s">
        <v>20</v>
      </c>
      <c r="F752" s="7" t="s">
        <v>360</v>
      </c>
      <c r="G752" s="7" t="e">
        <f t="shared" ca="1" si="24"/>
        <v>#NAME?</v>
      </c>
      <c r="H752" s="24" t="s">
        <v>145</v>
      </c>
      <c r="I752" s="24" t="s">
        <v>146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127</v>
      </c>
      <c r="T752" s="4" t="s">
        <v>2540</v>
      </c>
      <c r="U752" s="7" t="s">
        <v>20</v>
      </c>
      <c r="V752" s="24" t="e">
        <f t="shared" ca="1" si="25"/>
        <v>#NAME?</v>
      </c>
      <c r="W752" s="7"/>
      <c r="X752" s="7"/>
      <c r="Y752" s="29" t="s">
        <v>129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2541</v>
      </c>
      <c r="C753" s="4" t="s">
        <v>2542</v>
      </c>
      <c r="D753" s="7" t="s">
        <v>19</v>
      </c>
      <c r="E753" s="7" t="s">
        <v>35</v>
      </c>
      <c r="F753" s="7" t="s">
        <v>250</v>
      </c>
      <c r="G753" s="7" t="e">
        <f t="shared" ca="1" si="24"/>
        <v>#NAME?</v>
      </c>
      <c r="H753" s="24" t="s">
        <v>134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127</v>
      </c>
      <c r="T753" s="7" t="s">
        <v>2543</v>
      </c>
      <c r="U753" s="7" t="s">
        <v>202</v>
      </c>
      <c r="V753" s="24" t="e">
        <f t="shared" ca="1" si="25"/>
        <v>#NAME?</v>
      </c>
      <c r="W753" s="7"/>
      <c r="X753" s="7"/>
      <c r="Y753" s="29" t="s">
        <v>129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2544</v>
      </c>
      <c r="C754" s="4" t="s">
        <v>2545</v>
      </c>
      <c r="D754" s="7" t="s">
        <v>46</v>
      </c>
      <c r="E754" s="7" t="s">
        <v>20</v>
      </c>
      <c r="F754" s="7" t="s">
        <v>785</v>
      </c>
      <c r="G754" s="7" t="e">
        <f t="shared" ca="1" si="24"/>
        <v>#NAME?</v>
      </c>
      <c r="H754" s="24" t="s">
        <v>134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185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127</v>
      </c>
      <c r="T754" s="7" t="s">
        <v>2546</v>
      </c>
      <c r="U754" s="7" t="s">
        <v>20</v>
      </c>
      <c r="V754" s="24" t="e">
        <f t="shared" ca="1" si="25"/>
        <v>#NAME?</v>
      </c>
      <c r="W754" s="7"/>
      <c r="X754" s="7"/>
      <c r="Y754" s="29" t="s">
        <v>129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2547</v>
      </c>
      <c r="C755" s="44" t="s">
        <v>2548</v>
      </c>
      <c r="D755" s="7" t="s">
        <v>19</v>
      </c>
      <c r="E755" s="7" t="s">
        <v>35</v>
      </c>
      <c r="F755" s="7" t="s">
        <v>199</v>
      </c>
      <c r="G755" s="7" t="e">
        <f t="shared" ca="1" si="24"/>
        <v>#NAME?</v>
      </c>
      <c r="H755" s="24" t="s">
        <v>134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2549</v>
      </c>
      <c r="S755" s="7" t="s">
        <v>127</v>
      </c>
      <c r="T755" s="7" t="s">
        <v>2550</v>
      </c>
      <c r="U755" s="7" t="s">
        <v>202</v>
      </c>
      <c r="V755" s="24" t="e">
        <f t="shared" ca="1" si="25"/>
        <v>#NAME?</v>
      </c>
      <c r="W755" s="7"/>
      <c r="X755" s="7"/>
      <c r="Y755" s="29" t="s">
        <v>129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2551</v>
      </c>
      <c r="C756" s="39" t="s">
        <v>2552</v>
      </c>
      <c r="D756" s="7" t="s">
        <v>71</v>
      </c>
      <c r="E756" s="7" t="s">
        <v>66</v>
      </c>
      <c r="F756" s="7" t="s">
        <v>72</v>
      </c>
      <c r="G756" s="7" t="e">
        <f t="shared" ca="1" si="24"/>
        <v>#NAME?</v>
      </c>
      <c r="H756" s="24" t="s">
        <v>134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127</v>
      </c>
      <c r="T756" s="6" t="s">
        <v>2553</v>
      </c>
      <c r="U756" s="7" t="s">
        <v>66</v>
      </c>
      <c r="V756" s="24" t="e">
        <f t="shared" ca="1" si="25"/>
        <v>#NAME?</v>
      </c>
      <c r="W756" s="7"/>
      <c r="X756" s="7" t="s">
        <v>42</v>
      </c>
      <c r="Y756" s="29" t="s">
        <v>129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2554</v>
      </c>
      <c r="C757" s="4" t="s">
        <v>2555</v>
      </c>
      <c r="D757" s="7" t="s">
        <v>19</v>
      </c>
      <c r="E757" s="7" t="s">
        <v>66</v>
      </c>
      <c r="F757" s="7" t="s">
        <v>144</v>
      </c>
      <c r="G757" s="7" t="e">
        <f t="shared" ca="1" si="24"/>
        <v>#NAME?</v>
      </c>
      <c r="H757" s="24" t="s">
        <v>145</v>
      </c>
      <c r="I757" s="24" t="s">
        <v>146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2556</v>
      </c>
      <c r="S757" s="7" t="s">
        <v>127</v>
      </c>
      <c r="T757" s="7" t="s">
        <v>2557</v>
      </c>
      <c r="U757" s="7" t="s">
        <v>41</v>
      </c>
      <c r="V757" s="24" t="e">
        <f t="shared" ca="1" si="25"/>
        <v>#NAME?</v>
      </c>
      <c r="W757" s="7"/>
      <c r="X757" s="7"/>
      <c r="Y757" s="29" t="s">
        <v>129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2558</v>
      </c>
      <c r="C758" s="4" t="s">
        <v>2559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145</v>
      </c>
      <c r="I758" s="24" t="s">
        <v>146</v>
      </c>
      <c r="J758" s="7" t="str">
        <f t="shared" si="32"/>
        <v>Não</v>
      </c>
      <c r="K758" s="25">
        <v>45029</v>
      </c>
      <c r="L758" s="7"/>
      <c r="M758" s="7" t="s">
        <v>185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127</v>
      </c>
      <c r="T758" s="7" t="s">
        <v>2560</v>
      </c>
      <c r="U758" s="7" t="s">
        <v>20</v>
      </c>
      <c r="V758" s="24" t="e">
        <f t="shared" ca="1" si="25"/>
        <v>#NAME?</v>
      </c>
      <c r="W758" s="7"/>
      <c r="X758" s="7"/>
      <c r="Y758" s="29" t="s">
        <v>129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2561</v>
      </c>
      <c r="C759" s="4" t="s">
        <v>2562</v>
      </c>
      <c r="D759" s="7" t="s">
        <v>46</v>
      </c>
      <c r="E759" s="7" t="s">
        <v>20</v>
      </c>
      <c r="F759" s="7" t="s">
        <v>189</v>
      </c>
      <c r="G759" s="7" t="e">
        <f t="shared" ca="1" si="24"/>
        <v>#NAME?</v>
      </c>
      <c r="H759" s="24" t="s">
        <v>145</v>
      </c>
      <c r="I759" s="24" t="s">
        <v>190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1179</v>
      </c>
      <c r="R759" s="90"/>
      <c r="S759" s="7" t="s">
        <v>127</v>
      </c>
      <c r="T759" s="7" t="s">
        <v>2563</v>
      </c>
      <c r="U759" s="7" t="s">
        <v>48</v>
      </c>
      <c r="V759" s="24" t="e">
        <f t="shared" ca="1" si="25"/>
        <v>#NAME?</v>
      </c>
      <c r="W759" s="7"/>
      <c r="X759" s="7"/>
      <c r="Y759" s="29" t="s">
        <v>129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2564</v>
      </c>
      <c r="C760" s="4" t="s">
        <v>2565</v>
      </c>
      <c r="D760" s="7" t="s">
        <v>19</v>
      </c>
      <c r="E760" s="7" t="s">
        <v>66</v>
      </c>
      <c r="F760" s="7" t="s">
        <v>265</v>
      </c>
      <c r="G760" s="7" t="e">
        <f t="shared" ca="1" si="24"/>
        <v>#NAME?</v>
      </c>
      <c r="H760" s="24" t="s">
        <v>145</v>
      </c>
      <c r="I760" s="24" t="s">
        <v>146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127</v>
      </c>
      <c r="T760" s="7" t="s">
        <v>2566</v>
      </c>
      <c r="U760" s="7" t="s">
        <v>66</v>
      </c>
      <c r="V760" s="24" t="e">
        <f t="shared" ca="1" si="25"/>
        <v>#NAME?</v>
      </c>
      <c r="W760" s="7"/>
      <c r="X760" s="7"/>
      <c r="Y760" s="29" t="s">
        <v>129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2567</v>
      </c>
      <c r="C761" s="4" t="s">
        <v>2568</v>
      </c>
      <c r="D761" s="7" t="s">
        <v>46</v>
      </c>
      <c r="E761" s="7" t="s">
        <v>20</v>
      </c>
      <c r="F761" s="7" t="s">
        <v>124</v>
      </c>
      <c r="G761" s="7" t="e">
        <f t="shared" ca="1" si="24"/>
        <v>#NAME?</v>
      </c>
      <c r="H761" s="24" t="s">
        <v>125</v>
      </c>
      <c r="I761" s="24" t="s">
        <v>25</v>
      </c>
      <c r="J761" s="7" t="s">
        <v>1135</v>
      </c>
      <c r="K761" s="25">
        <v>45392</v>
      </c>
      <c r="L761" s="25">
        <v>45553</v>
      </c>
      <c r="M761" s="7" t="s">
        <v>1136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127</v>
      </c>
      <c r="T761" s="7" t="s">
        <v>2569</v>
      </c>
      <c r="U761" s="7" t="s">
        <v>878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2570</v>
      </c>
      <c r="C762" s="4" t="s">
        <v>2571</v>
      </c>
      <c r="D762" s="7" t="s">
        <v>19</v>
      </c>
      <c r="E762" s="7" t="s">
        <v>20</v>
      </c>
      <c r="F762" s="7" t="s">
        <v>360</v>
      </c>
      <c r="G762" s="7" t="e">
        <f t="shared" ca="1" si="24"/>
        <v>#NAME?</v>
      </c>
      <c r="H762" s="24" t="s">
        <v>134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2572</v>
      </c>
      <c r="R762" s="90"/>
      <c r="S762" s="7" t="s">
        <v>127</v>
      </c>
      <c r="T762" s="7" t="s">
        <v>2573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2574</v>
      </c>
      <c r="C763" s="4" t="s">
        <v>2575</v>
      </c>
      <c r="D763" s="7" t="s">
        <v>19</v>
      </c>
      <c r="E763" s="7" t="s">
        <v>20</v>
      </c>
      <c r="F763" s="7" t="s">
        <v>360</v>
      </c>
      <c r="G763" s="7" t="e">
        <f t="shared" ca="1" si="24"/>
        <v>#NAME?</v>
      </c>
      <c r="H763" s="24" t="s">
        <v>134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127</v>
      </c>
      <c r="T763" s="7" t="s">
        <v>2576</v>
      </c>
      <c r="U763" s="7" t="s">
        <v>20</v>
      </c>
      <c r="V763" s="24" t="e">
        <f t="shared" ca="1" si="25"/>
        <v>#NAME?</v>
      </c>
      <c r="W763" s="7"/>
      <c r="X763" s="7"/>
      <c r="Y763" s="29" t="s">
        <v>129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2577</v>
      </c>
      <c r="C764" s="35" t="s">
        <v>2578</v>
      </c>
      <c r="D764" s="7" t="s">
        <v>19</v>
      </c>
      <c r="E764" s="7" t="s">
        <v>20</v>
      </c>
      <c r="F764" s="7" t="s">
        <v>935</v>
      </c>
      <c r="G764" s="7" t="e">
        <f t="shared" ca="1" si="24"/>
        <v>#NAME?</v>
      </c>
      <c r="H764" s="24" t="s">
        <v>125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127</v>
      </c>
      <c r="T764" s="7" t="s">
        <v>2579</v>
      </c>
      <c r="U764" s="7" t="s">
        <v>20</v>
      </c>
      <c r="V764" s="24" t="e">
        <f t="shared" ca="1" si="25"/>
        <v>#NAME?</v>
      </c>
      <c r="W764" s="7"/>
      <c r="X764" s="7"/>
      <c r="Y764" s="29" t="s">
        <v>129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2580</v>
      </c>
      <c r="C765" s="182" t="s">
        <v>2581</v>
      </c>
      <c r="D765" s="7" t="s">
        <v>132</v>
      </c>
      <c r="E765" s="7" t="s">
        <v>66</v>
      </c>
      <c r="F765" s="7" t="s">
        <v>133</v>
      </c>
      <c r="G765" s="7" t="e">
        <f t="shared" ca="1" si="24"/>
        <v>#NAME?</v>
      </c>
      <c r="H765" s="24" t="s">
        <v>134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2582</v>
      </c>
      <c r="R765" s="90"/>
      <c r="S765" s="7" t="s">
        <v>127</v>
      </c>
      <c r="T765" s="7" t="s">
        <v>2583</v>
      </c>
      <c r="U765" s="7" t="s">
        <v>66</v>
      </c>
      <c r="V765" s="24" t="e">
        <f t="shared" ca="1" si="25"/>
        <v>#NAME?</v>
      </c>
      <c r="W765" s="7"/>
      <c r="X765" s="7" t="s">
        <v>152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2584</v>
      </c>
      <c r="C766" s="183" t="s">
        <v>2585</v>
      </c>
      <c r="D766" s="7" t="s">
        <v>19</v>
      </c>
      <c r="E766" s="7" t="s">
        <v>20</v>
      </c>
      <c r="F766" s="7" t="s">
        <v>195</v>
      </c>
      <c r="G766" s="7" t="e">
        <f t="shared" ca="1" si="24"/>
        <v>#NAME?</v>
      </c>
      <c r="H766" s="24" t="s">
        <v>134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127</v>
      </c>
      <c r="T766" s="7" t="s">
        <v>2586</v>
      </c>
      <c r="U766" s="7" t="s">
        <v>878</v>
      </c>
      <c r="V766" s="24" t="e">
        <f t="shared" ca="1" si="25"/>
        <v>#NAME?</v>
      </c>
      <c r="W766" s="7"/>
      <c r="X766" s="7"/>
      <c r="Y766" s="29" t="s">
        <v>129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2587</v>
      </c>
      <c r="C767" s="4" t="s">
        <v>2588</v>
      </c>
      <c r="D767" s="7" t="s">
        <v>19</v>
      </c>
      <c r="E767" s="7" t="s">
        <v>35</v>
      </c>
      <c r="F767" s="7" t="s">
        <v>199</v>
      </c>
      <c r="G767" s="7" t="e">
        <f t="shared" ca="1" si="24"/>
        <v>#NAME?</v>
      </c>
      <c r="H767" s="24" t="s">
        <v>145</v>
      </c>
      <c r="I767" s="24" t="s">
        <v>897</v>
      </c>
      <c r="J767" s="7" t="str">
        <f t="shared" si="33"/>
        <v>Não</v>
      </c>
      <c r="K767" s="25">
        <v>45106</v>
      </c>
      <c r="L767" s="25"/>
      <c r="M767" s="7" t="s">
        <v>242</v>
      </c>
      <c r="N767" s="26">
        <v>2.5000000000000001E-2</v>
      </c>
      <c r="O767" s="7" t="s">
        <v>167</v>
      </c>
      <c r="P767" s="27">
        <v>0.2</v>
      </c>
      <c r="Q767" s="90"/>
      <c r="R767" s="90"/>
      <c r="S767" s="7" t="s">
        <v>127</v>
      </c>
      <c r="T767" s="7" t="s">
        <v>2589</v>
      </c>
      <c r="U767" s="7" t="s">
        <v>202</v>
      </c>
      <c r="V767" s="24" t="e">
        <f t="shared" ca="1" si="25"/>
        <v>#NAME?</v>
      </c>
      <c r="W767" s="7"/>
      <c r="X767" s="7"/>
      <c r="Y767" s="29" t="s">
        <v>129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2587</v>
      </c>
      <c r="C768" s="4" t="s">
        <v>2590</v>
      </c>
      <c r="D768" s="7" t="s">
        <v>19</v>
      </c>
      <c r="E768" s="7" t="s">
        <v>35</v>
      </c>
      <c r="F768" s="7" t="s">
        <v>199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145</v>
      </c>
      <c r="I768" s="24" t="s">
        <v>988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127</v>
      </c>
      <c r="T768" s="7" t="s">
        <v>2589</v>
      </c>
      <c r="U768" s="7" t="s">
        <v>202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129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2587</v>
      </c>
      <c r="C769" s="42" t="s">
        <v>2591</v>
      </c>
      <c r="D769" s="7" t="s">
        <v>19</v>
      </c>
      <c r="E769" s="7" t="s">
        <v>35</v>
      </c>
      <c r="F769" s="7" t="s">
        <v>199</v>
      </c>
      <c r="G769" s="7" t="e">
        <f t="shared" ca="1" si="34"/>
        <v>#NAME?</v>
      </c>
      <c r="H769" s="24" t="s">
        <v>134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245</v>
      </c>
      <c r="N769" s="26">
        <v>8.0000000000000002E-3</v>
      </c>
      <c r="O769" s="7" t="s">
        <v>246</v>
      </c>
      <c r="P769" s="27">
        <v>0.1</v>
      </c>
      <c r="Q769" s="28" t="s">
        <v>2592</v>
      </c>
      <c r="R769" s="90"/>
      <c r="S769" s="7" t="s">
        <v>127</v>
      </c>
      <c r="T769" s="7" t="s">
        <v>2589</v>
      </c>
      <c r="U769" s="7" t="s">
        <v>202</v>
      </c>
      <c r="V769" s="24" t="e">
        <f t="shared" ca="1" si="35"/>
        <v>#NAME?</v>
      </c>
      <c r="W769" s="7"/>
      <c r="X769" s="7"/>
      <c r="Y769" s="29" t="s">
        <v>129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2593</v>
      </c>
      <c r="C770" s="42" t="s">
        <v>2594</v>
      </c>
      <c r="D770" s="7" t="s">
        <v>19</v>
      </c>
      <c r="E770" s="7" t="s">
        <v>20</v>
      </c>
      <c r="F770" s="7" t="s">
        <v>437</v>
      </c>
      <c r="G770" s="7" t="e">
        <f t="shared" ca="1" si="34"/>
        <v>#NAME?</v>
      </c>
      <c r="H770" s="24" t="s">
        <v>150</v>
      </c>
      <c r="I770" s="24" t="s">
        <v>146</v>
      </c>
      <c r="J770" s="7" t="str">
        <f t="shared" si="33"/>
        <v>Não</v>
      </c>
      <c r="K770" s="25">
        <v>45548</v>
      </c>
      <c r="L770" s="25"/>
      <c r="M770" s="7" t="s">
        <v>185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127</v>
      </c>
      <c r="T770" s="7" t="s">
        <v>2595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2596</v>
      </c>
      <c r="C771" s="4" t="s">
        <v>2597</v>
      </c>
      <c r="D771" s="7" t="s">
        <v>19</v>
      </c>
      <c r="E771" s="7" t="s">
        <v>66</v>
      </c>
      <c r="F771" s="7" t="s">
        <v>2598</v>
      </c>
      <c r="G771" s="7" t="e">
        <f t="shared" ca="1" si="34"/>
        <v>#NAME?</v>
      </c>
      <c r="H771" s="24" t="s">
        <v>145</v>
      </c>
      <c r="I771" s="24" t="s">
        <v>146</v>
      </c>
      <c r="J771" s="7" t="str">
        <f>IF(R771=0,"Não","Sim")</f>
        <v>Sim</v>
      </c>
      <c r="K771" s="25">
        <v>45359</v>
      </c>
      <c r="L771" s="7"/>
      <c r="M771" s="127" t="s">
        <v>185</v>
      </c>
      <c r="N771" s="128">
        <v>1.4999999999999999E-2</v>
      </c>
      <c r="O771" s="129" t="s">
        <v>39</v>
      </c>
      <c r="P771" s="130">
        <v>0.1</v>
      </c>
      <c r="R771" s="90" t="s">
        <v>2599</v>
      </c>
      <c r="S771" s="7" t="s">
        <v>127</v>
      </c>
      <c r="T771" s="6" t="s">
        <v>2600</v>
      </c>
      <c r="U771" s="7" t="s">
        <v>66</v>
      </c>
      <c r="V771" s="24" t="e">
        <f t="shared" ca="1" si="35"/>
        <v>#NAME?</v>
      </c>
      <c r="W771" s="7"/>
      <c r="X771" s="7"/>
      <c r="Y771" s="29" t="s">
        <v>129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2601</v>
      </c>
      <c r="C772" s="4" t="s">
        <v>2602</v>
      </c>
      <c r="D772" s="7" t="s">
        <v>19</v>
      </c>
      <c r="E772" s="7" t="s">
        <v>66</v>
      </c>
      <c r="F772" s="7" t="s">
        <v>67</v>
      </c>
      <c r="G772" s="7" t="e">
        <f t="shared" ca="1" si="34"/>
        <v>#NAME?</v>
      </c>
      <c r="H772" s="24" t="s">
        <v>145</v>
      </c>
      <c r="I772" s="24" t="s">
        <v>208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185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127</v>
      </c>
      <c r="T772" s="7" t="s">
        <v>2603</v>
      </c>
      <c r="U772" s="7" t="s">
        <v>66</v>
      </c>
      <c r="V772" s="24" t="e">
        <f t="shared" ca="1" si="35"/>
        <v>#NAME?</v>
      </c>
      <c r="W772" s="7"/>
      <c r="X772" s="7"/>
      <c r="Y772" s="29" t="s">
        <v>129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2604</v>
      </c>
      <c r="C773" s="4" t="s">
        <v>2605</v>
      </c>
      <c r="D773" s="7" t="s">
        <v>19</v>
      </c>
      <c r="E773" s="7" t="s">
        <v>66</v>
      </c>
      <c r="F773" s="7" t="s">
        <v>67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2606</v>
      </c>
      <c r="R773" s="90"/>
      <c r="S773" s="7" t="s">
        <v>127</v>
      </c>
      <c r="T773" s="7" t="s">
        <v>2603</v>
      </c>
      <c r="U773" s="7" t="s">
        <v>66</v>
      </c>
      <c r="V773" s="24" t="e">
        <f t="shared" ca="1" si="35"/>
        <v>#NAME?</v>
      </c>
      <c r="W773" s="7"/>
      <c r="X773" s="7"/>
      <c r="Y773" s="29" t="s">
        <v>129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2607</v>
      </c>
      <c r="C774" s="39" t="s">
        <v>2608</v>
      </c>
      <c r="D774" s="7" t="s">
        <v>19</v>
      </c>
      <c r="E774" s="7" t="s">
        <v>20</v>
      </c>
      <c r="F774" s="7" t="s">
        <v>184</v>
      </c>
      <c r="G774" s="7" t="e">
        <f t="shared" ca="1" si="34"/>
        <v>#NAME?</v>
      </c>
      <c r="H774" s="24" t="s">
        <v>134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127</v>
      </c>
      <c r="T774" s="7" t="s">
        <v>2609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129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2610</v>
      </c>
      <c r="C775" s="4" t="s">
        <v>2611</v>
      </c>
      <c r="D775" s="7" t="s">
        <v>19</v>
      </c>
      <c r="E775" s="7" t="s">
        <v>35</v>
      </c>
      <c r="F775" s="7" t="s">
        <v>250</v>
      </c>
      <c r="G775" s="7" t="e">
        <f t="shared" ca="1" si="34"/>
        <v>#NAME?</v>
      </c>
      <c r="H775" s="24" t="s">
        <v>145</v>
      </c>
      <c r="I775" s="24" t="s">
        <v>229</v>
      </c>
      <c r="J775" s="7" t="str">
        <f t="shared" si="36"/>
        <v>Não</v>
      </c>
      <c r="K775" s="25">
        <v>45028</v>
      </c>
      <c r="L775" s="7"/>
      <c r="M775" s="7" t="s">
        <v>333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127</v>
      </c>
      <c r="T775" s="7" t="s">
        <v>2612</v>
      </c>
      <c r="U775" s="7" t="s">
        <v>202</v>
      </c>
      <c r="V775" s="24" t="e">
        <f t="shared" ca="1" si="35"/>
        <v>#NAME?</v>
      </c>
      <c r="W775" s="7"/>
      <c r="X775" s="7"/>
      <c r="Y775" s="29" t="s">
        <v>129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2613</v>
      </c>
      <c r="C776" s="4" t="s">
        <v>2614</v>
      </c>
      <c r="D776" s="7" t="s">
        <v>46</v>
      </c>
      <c r="E776" s="7" t="s">
        <v>20</v>
      </c>
      <c r="F776" s="7" t="s">
        <v>189</v>
      </c>
      <c r="G776" s="7" t="e">
        <f t="shared" ca="1" si="34"/>
        <v>#NAME?</v>
      </c>
      <c r="H776" s="24" t="s">
        <v>145</v>
      </c>
      <c r="I776" s="24" t="s">
        <v>190</v>
      </c>
      <c r="J776" s="7" t="str">
        <f t="shared" si="36"/>
        <v>Sim</v>
      </c>
      <c r="K776" s="25">
        <v>45575</v>
      </c>
      <c r="L776" s="7"/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127</v>
      </c>
      <c r="T776" s="7" t="s">
        <v>2615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2616</v>
      </c>
      <c r="C777" s="4" t="s">
        <v>2617</v>
      </c>
      <c r="D777" s="7" t="s">
        <v>46</v>
      </c>
      <c r="E777" s="7" t="s">
        <v>20</v>
      </c>
      <c r="F777" s="7" t="s">
        <v>261</v>
      </c>
      <c r="G777" s="7" t="e">
        <f t="shared" ca="1" si="34"/>
        <v>#NAME?</v>
      </c>
      <c r="H777" s="24" t="s">
        <v>125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127</v>
      </c>
      <c r="T777" s="7" t="s">
        <v>2618</v>
      </c>
      <c r="U777" s="7" t="s">
        <v>20</v>
      </c>
      <c r="V777" s="24" t="e">
        <f t="shared" ca="1" si="35"/>
        <v>#NAME?</v>
      </c>
      <c r="W777" s="7"/>
      <c r="X777" s="7"/>
      <c r="Y777" s="29" t="s">
        <v>129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2619</v>
      </c>
      <c r="C778" s="4" t="s">
        <v>2620</v>
      </c>
      <c r="D778" s="7" t="s">
        <v>19</v>
      </c>
      <c r="E778" s="7" t="s">
        <v>20</v>
      </c>
      <c r="F778" s="7" t="s">
        <v>184</v>
      </c>
      <c r="G778" s="7" t="e">
        <f t="shared" ca="1" si="34"/>
        <v>#NAME?</v>
      </c>
      <c r="H778" s="24" t="s">
        <v>134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127</v>
      </c>
      <c r="T778" s="7" t="s">
        <v>2621</v>
      </c>
      <c r="U778" s="7" t="s">
        <v>20</v>
      </c>
      <c r="V778" s="24" t="e">
        <f t="shared" ca="1" si="35"/>
        <v>#NAME?</v>
      </c>
      <c r="W778" s="7"/>
      <c r="X778" s="7" t="s">
        <v>152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2623</v>
      </c>
      <c r="D779" s="7" t="s">
        <v>19</v>
      </c>
      <c r="E779" s="7" t="s">
        <v>20</v>
      </c>
      <c r="F779" s="7" t="s">
        <v>195</v>
      </c>
      <c r="G779" s="7" t="e">
        <f t="shared" ca="1" si="34"/>
        <v>#NAME?</v>
      </c>
      <c r="H779" s="24" t="s">
        <v>145</v>
      </c>
      <c r="I779" s="24" t="s">
        <v>146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127</v>
      </c>
      <c r="T779" s="7" t="s">
        <v>2624</v>
      </c>
      <c r="U779" s="7" t="s">
        <v>20</v>
      </c>
      <c r="V779" s="24" t="e">
        <f t="shared" ca="1" si="35"/>
        <v>#NAME?</v>
      </c>
      <c r="W779" s="7"/>
      <c r="X779" s="7" t="s">
        <v>152</v>
      </c>
      <c r="Y779" s="29" t="s">
        <v>240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2625</v>
      </c>
      <c r="C780" s="4" t="s">
        <v>2626</v>
      </c>
      <c r="D780" s="7" t="s">
        <v>19</v>
      </c>
      <c r="E780" s="7" t="s">
        <v>66</v>
      </c>
      <c r="F780" s="7" t="s">
        <v>144</v>
      </c>
      <c r="G780" s="7" t="e">
        <f t="shared" ca="1" si="34"/>
        <v>#NAME?</v>
      </c>
      <c r="H780" s="24" t="s">
        <v>145</v>
      </c>
      <c r="I780" s="24" t="s">
        <v>921</v>
      </c>
      <c r="J780" s="7" t="str">
        <f t="shared" si="36"/>
        <v>Não</v>
      </c>
      <c r="K780" s="25">
        <v>44994</v>
      </c>
      <c r="L780" s="7"/>
      <c r="M780" s="7" t="s">
        <v>185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127</v>
      </c>
      <c r="T780" s="7" t="s">
        <v>2627</v>
      </c>
      <c r="U780" s="7" t="s">
        <v>66</v>
      </c>
      <c r="V780" s="24" t="e">
        <f t="shared" ca="1" si="35"/>
        <v>#NAME?</v>
      </c>
      <c r="W780" s="7"/>
      <c r="X780" s="7"/>
      <c r="Y780" s="29" t="s">
        <v>129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2628</v>
      </c>
      <c r="C781" s="4" t="s">
        <v>2629</v>
      </c>
      <c r="D781" s="7" t="s">
        <v>46</v>
      </c>
      <c r="E781" s="7" t="s">
        <v>20</v>
      </c>
      <c r="F781" s="7" t="s">
        <v>2333</v>
      </c>
      <c r="G781" s="7" t="e">
        <f t="shared" ca="1" si="34"/>
        <v>#NAME?</v>
      </c>
      <c r="H781" s="24" t="s">
        <v>125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333</v>
      </c>
      <c r="N781" s="26">
        <v>0.02</v>
      </c>
      <c r="O781" s="7" t="s">
        <v>39</v>
      </c>
      <c r="P781" s="27">
        <v>0.2</v>
      </c>
      <c r="Q781" s="86"/>
      <c r="R781" s="28" t="s">
        <v>2630</v>
      </c>
      <c r="S781" s="7" t="s">
        <v>127</v>
      </c>
      <c r="T781" s="7" t="s">
        <v>2631</v>
      </c>
      <c r="U781" s="7" t="s">
        <v>20</v>
      </c>
      <c r="V781" s="24" t="e">
        <f t="shared" ca="1" si="35"/>
        <v>#NAME?</v>
      </c>
      <c r="W781" s="7"/>
      <c r="X781" s="7"/>
      <c r="Y781" s="29" t="s">
        <v>129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2632</v>
      </c>
      <c r="C782" s="41" t="s">
        <v>2633</v>
      </c>
      <c r="D782" s="7" t="s">
        <v>19</v>
      </c>
      <c r="E782" s="7" t="s">
        <v>20</v>
      </c>
      <c r="F782" s="7" t="s">
        <v>184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185</v>
      </c>
      <c r="N782" s="26">
        <v>1.4999999999999999E-2</v>
      </c>
      <c r="O782" s="7" t="s">
        <v>39</v>
      </c>
      <c r="P782" s="27">
        <v>0.1</v>
      </c>
      <c r="Q782" s="23"/>
      <c r="R782" s="82" t="s">
        <v>312</v>
      </c>
      <c r="S782" s="7" t="s">
        <v>127</v>
      </c>
      <c r="T782" s="7" t="s">
        <v>2634</v>
      </c>
      <c r="U782" s="7" t="s">
        <v>20</v>
      </c>
      <c r="V782" s="24" t="e">
        <f t="shared" ca="1" si="35"/>
        <v>#NAME?</v>
      </c>
      <c r="W782" s="7"/>
      <c r="X782" s="7"/>
      <c r="Y782" s="29" t="s">
        <v>129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2635</v>
      </c>
      <c r="C783" s="4" t="s">
        <v>2636</v>
      </c>
      <c r="D783" s="7" t="s">
        <v>19</v>
      </c>
      <c r="E783" s="7" t="s">
        <v>20</v>
      </c>
      <c r="F783" s="7" t="s">
        <v>720</v>
      </c>
      <c r="G783" s="7" t="e">
        <f t="shared" ca="1" si="34"/>
        <v>#NAME?</v>
      </c>
      <c r="H783" s="24" t="s">
        <v>134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185</v>
      </c>
      <c r="N783" s="26">
        <v>1.2E-2</v>
      </c>
      <c r="O783" s="7" t="s">
        <v>39</v>
      </c>
      <c r="P783" s="27">
        <v>0.1</v>
      </c>
      <c r="Q783" s="90"/>
      <c r="R783" s="184" t="s">
        <v>2637</v>
      </c>
      <c r="S783" s="7" t="s">
        <v>127</v>
      </c>
      <c r="T783" s="7" t="s">
        <v>2638</v>
      </c>
      <c r="U783" s="7" t="s">
        <v>20</v>
      </c>
      <c r="V783" s="24" t="e">
        <f t="shared" ca="1" si="35"/>
        <v>#NAME?</v>
      </c>
      <c r="W783" s="7"/>
      <c r="X783" s="7"/>
      <c r="Y783" s="29" t="s">
        <v>129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2639</v>
      </c>
      <c r="C784" s="4" t="s">
        <v>2640</v>
      </c>
      <c r="D784" s="7" t="s">
        <v>19</v>
      </c>
      <c r="E784" s="7" t="s">
        <v>35</v>
      </c>
      <c r="F784" s="7" t="s">
        <v>199</v>
      </c>
      <c r="G784" s="7" t="e">
        <f t="shared" ca="1" si="34"/>
        <v>#NAME?</v>
      </c>
      <c r="H784" s="24" t="s">
        <v>125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242</v>
      </c>
      <c r="N784" s="26">
        <v>2.5000000000000001E-2</v>
      </c>
      <c r="O784" s="7" t="s">
        <v>167</v>
      </c>
      <c r="P784" s="27">
        <v>0.2</v>
      </c>
      <c r="Q784" s="28"/>
      <c r="R784" s="28" t="s">
        <v>2641</v>
      </c>
      <c r="S784" s="7" t="s">
        <v>127</v>
      </c>
      <c r="T784" s="7" t="s">
        <v>2642</v>
      </c>
      <c r="U784" s="7" t="s">
        <v>202</v>
      </c>
      <c r="V784" s="24" t="e">
        <f t="shared" ca="1" si="35"/>
        <v>#NAME?</v>
      </c>
      <c r="W784" s="7"/>
      <c r="X784" s="7"/>
      <c r="Y784" s="29" t="s">
        <v>129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2639</v>
      </c>
      <c r="C785" s="4" t="s">
        <v>2643</v>
      </c>
      <c r="D785" s="7" t="s">
        <v>19</v>
      </c>
      <c r="E785" s="7" t="s">
        <v>35</v>
      </c>
      <c r="F785" s="7" t="s">
        <v>199</v>
      </c>
      <c r="G785" s="7" t="e">
        <f t="shared" ca="1" si="34"/>
        <v>#NAME?</v>
      </c>
      <c r="H785" s="24" t="s">
        <v>125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2644</v>
      </c>
      <c r="S785" s="7" t="s">
        <v>127</v>
      </c>
      <c r="T785" s="7" t="s">
        <v>2642</v>
      </c>
      <c r="U785" s="7" t="s">
        <v>202</v>
      </c>
      <c r="V785" s="24" t="e">
        <f t="shared" ca="1" si="35"/>
        <v>#NAME?</v>
      </c>
      <c r="W785" s="7"/>
      <c r="X785" s="7"/>
      <c r="Y785" s="29" t="s">
        <v>129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2639</v>
      </c>
      <c r="C786" s="41" t="s">
        <v>2645</v>
      </c>
      <c r="D786" s="7" t="s">
        <v>19</v>
      </c>
      <c r="E786" s="7" t="s">
        <v>35</v>
      </c>
      <c r="F786" s="7" t="s">
        <v>199</v>
      </c>
      <c r="G786" s="7" t="e">
        <f t="shared" ca="1" si="34"/>
        <v>#NAME?</v>
      </c>
      <c r="H786" s="24" t="s">
        <v>125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127</v>
      </c>
      <c r="T786" s="7" t="s">
        <v>2642</v>
      </c>
      <c r="U786" s="7" t="s">
        <v>202</v>
      </c>
      <c r="V786" s="24" t="e">
        <f t="shared" ca="1" si="35"/>
        <v>#NAME?</v>
      </c>
      <c r="W786" s="7"/>
      <c r="X786" s="7"/>
      <c r="Y786" s="29" t="s">
        <v>129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2646</v>
      </c>
      <c r="C787" s="41" t="s">
        <v>2647</v>
      </c>
      <c r="D787" s="7" t="s">
        <v>19</v>
      </c>
      <c r="E787" s="7" t="s">
        <v>66</v>
      </c>
      <c r="F787" s="7" t="s">
        <v>265</v>
      </c>
      <c r="G787" s="7" t="e">
        <f t="shared" ca="1" si="34"/>
        <v>#NAME?</v>
      </c>
      <c r="H787" s="24" t="s">
        <v>134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2648</v>
      </c>
      <c r="S787" s="7" t="s">
        <v>127</v>
      </c>
      <c r="T787" s="7" t="s">
        <v>2649</v>
      </c>
      <c r="U787" s="7" t="s">
        <v>66</v>
      </c>
      <c r="V787" s="24" t="e">
        <f t="shared" ca="1" si="35"/>
        <v>#NAME?</v>
      </c>
      <c r="W787" s="7"/>
      <c r="X787" s="7"/>
      <c r="Y787" s="29" t="s">
        <v>129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2650</v>
      </c>
      <c r="C788" s="41" t="s">
        <v>2651</v>
      </c>
      <c r="D788" s="7" t="s">
        <v>19</v>
      </c>
      <c r="E788" s="7" t="s">
        <v>66</v>
      </c>
      <c r="F788" s="7" t="s">
        <v>265</v>
      </c>
      <c r="G788" s="7" t="e">
        <f t="shared" ca="1" si="34"/>
        <v>#NAME?</v>
      </c>
      <c r="H788" s="24" t="s">
        <v>145</v>
      </c>
      <c r="I788" s="24" t="s">
        <v>208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127</v>
      </c>
      <c r="T788" s="7" t="s">
        <v>2652</v>
      </c>
      <c r="U788" s="7" t="s">
        <v>66</v>
      </c>
      <c r="V788" s="24" t="e">
        <f t="shared" ca="1" si="35"/>
        <v>#NAME?</v>
      </c>
      <c r="W788" s="7"/>
      <c r="X788" s="7"/>
      <c r="Y788" s="29" t="s">
        <v>129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2653</v>
      </c>
      <c r="C789" s="4" t="s">
        <v>2654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134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127</v>
      </c>
      <c r="T789" s="7" t="s">
        <v>2655</v>
      </c>
      <c r="U789" s="7" t="s">
        <v>878</v>
      </c>
      <c r="V789" s="24" t="e">
        <f t="shared" ca="1" si="35"/>
        <v>#NAME?</v>
      </c>
      <c r="W789" s="7"/>
      <c r="X789" s="7"/>
      <c r="Y789" s="29" t="s">
        <v>129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2656</v>
      </c>
      <c r="C790" s="4" t="s">
        <v>2657</v>
      </c>
      <c r="D790" s="7" t="s">
        <v>19</v>
      </c>
      <c r="E790" s="7" t="s">
        <v>20</v>
      </c>
      <c r="F790" s="7" t="s">
        <v>184</v>
      </c>
      <c r="G790" s="7" t="e">
        <f t="shared" ca="1" si="34"/>
        <v>#NAME?</v>
      </c>
      <c r="H790" s="24" t="s">
        <v>134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127</v>
      </c>
      <c r="T790" s="7" t="s">
        <v>2658</v>
      </c>
      <c r="U790" s="7" t="s">
        <v>20</v>
      </c>
      <c r="V790" s="24" t="e">
        <f t="shared" ca="1" si="35"/>
        <v>#NAME?</v>
      </c>
      <c r="W790" s="7"/>
      <c r="X790" s="7"/>
      <c r="Y790" s="29" t="s">
        <v>129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2659</v>
      </c>
      <c r="C791" s="4" t="s">
        <v>2660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134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127</v>
      </c>
      <c r="T791" s="7" t="s">
        <v>2661</v>
      </c>
      <c r="U791" s="7" t="s">
        <v>20</v>
      </c>
      <c r="V791" s="24" t="e">
        <f t="shared" ca="1" si="35"/>
        <v>#NAME?</v>
      </c>
      <c r="W791" s="7"/>
      <c r="X791" s="7"/>
      <c r="Y791" s="29" t="s">
        <v>129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2662</v>
      </c>
      <c r="C792" s="4" t="s">
        <v>2663</v>
      </c>
      <c r="D792" s="7" t="s">
        <v>46</v>
      </c>
      <c r="E792" s="7" t="s">
        <v>20</v>
      </c>
      <c r="F792" s="7" t="s">
        <v>914</v>
      </c>
      <c r="G792" s="7" t="e">
        <f t="shared" ca="1" si="34"/>
        <v>#NAME?</v>
      </c>
      <c r="H792" s="24" t="s">
        <v>125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127</v>
      </c>
      <c r="T792" s="7" t="s">
        <v>2664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2665</v>
      </c>
      <c r="C793" s="60" t="s">
        <v>2666</v>
      </c>
      <c r="D793" s="7" t="s">
        <v>71</v>
      </c>
      <c r="E793" s="7" t="s">
        <v>66</v>
      </c>
      <c r="F793" s="7" t="s">
        <v>72</v>
      </c>
      <c r="G793" s="7" t="e">
        <f t="shared" ca="1" si="34"/>
        <v>#NAME?</v>
      </c>
      <c r="H793" s="24" t="s">
        <v>134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127</v>
      </c>
      <c r="T793" s="7" t="s">
        <v>2667</v>
      </c>
      <c r="U793" s="7" t="s">
        <v>66</v>
      </c>
      <c r="V793" s="24" t="e">
        <f t="shared" ca="1" si="35"/>
        <v>#NAME?</v>
      </c>
      <c r="W793" s="7"/>
      <c r="X793" s="7" t="s">
        <v>152</v>
      </c>
      <c r="Y793" s="29" t="s">
        <v>129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2668</v>
      </c>
      <c r="C794" s="39" t="s">
        <v>2669</v>
      </c>
      <c r="D794" s="7" t="s">
        <v>19</v>
      </c>
      <c r="E794" s="7" t="s">
        <v>20</v>
      </c>
      <c r="F794" s="7" t="s">
        <v>720</v>
      </c>
      <c r="G794" s="7" t="e">
        <f t="shared" ca="1" si="34"/>
        <v>#NAME?</v>
      </c>
      <c r="H794" s="24" t="s">
        <v>145</v>
      </c>
      <c r="I794" s="24" t="s">
        <v>229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127</v>
      </c>
      <c r="T794" s="7" t="s">
        <v>2670</v>
      </c>
      <c r="U794" s="7" t="s">
        <v>20</v>
      </c>
      <c r="V794" s="24" t="e">
        <f t="shared" ca="1" si="35"/>
        <v>#NAME?</v>
      </c>
      <c r="W794" s="7"/>
      <c r="X794" s="7"/>
      <c r="Y794" s="29" t="s">
        <v>129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2671</v>
      </c>
      <c r="C795" s="4" t="s">
        <v>2672</v>
      </c>
      <c r="D795" s="7" t="s">
        <v>19</v>
      </c>
      <c r="E795" s="7" t="s">
        <v>35</v>
      </c>
      <c r="F795" s="7" t="s">
        <v>606</v>
      </c>
      <c r="G795" s="7" t="e">
        <f t="shared" ca="1" si="34"/>
        <v>#NAME?</v>
      </c>
      <c r="H795" s="24" t="s">
        <v>134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127</v>
      </c>
      <c r="T795" s="7" t="s">
        <v>2673</v>
      </c>
      <c r="U795" s="7" t="s">
        <v>202</v>
      </c>
      <c r="V795" s="24" t="e">
        <f t="shared" ca="1" si="35"/>
        <v>#NAME?</v>
      </c>
      <c r="W795" s="7"/>
      <c r="X795" s="7"/>
      <c r="Y795" s="29" t="s">
        <v>129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2674</v>
      </c>
      <c r="C796" s="4" t="s">
        <v>2675</v>
      </c>
      <c r="D796" s="7" t="s">
        <v>19</v>
      </c>
      <c r="E796" s="7" t="s">
        <v>20</v>
      </c>
      <c r="F796" s="7" t="s">
        <v>184</v>
      </c>
      <c r="G796" s="7" t="e">
        <f t="shared" ca="1" si="34"/>
        <v>#NAME?</v>
      </c>
      <c r="H796" s="24" t="s">
        <v>134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127</v>
      </c>
      <c r="T796" s="7" t="s">
        <v>2676</v>
      </c>
      <c r="U796" s="7" t="s">
        <v>20</v>
      </c>
      <c r="V796" s="24" t="e">
        <f t="shared" ca="1" si="35"/>
        <v>#NAME?</v>
      </c>
      <c r="W796" s="7"/>
      <c r="X796" s="7"/>
      <c r="Y796" s="29" t="s">
        <v>129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2677</v>
      </c>
      <c r="C797" s="44" t="s">
        <v>2678</v>
      </c>
      <c r="D797" s="7" t="s">
        <v>19</v>
      </c>
      <c r="E797" s="7" t="s">
        <v>20</v>
      </c>
      <c r="F797" s="7" t="s">
        <v>184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127</v>
      </c>
      <c r="T797" s="12" t="s">
        <v>2679</v>
      </c>
      <c r="U797" s="7" t="s">
        <v>20</v>
      </c>
      <c r="V797" s="24" t="e">
        <f t="shared" ca="1" si="35"/>
        <v>#NAME?</v>
      </c>
      <c r="W797" s="7"/>
      <c r="X797" s="7"/>
      <c r="Y797" s="29" t="s">
        <v>129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2680</v>
      </c>
      <c r="C798" s="4" t="s">
        <v>2681</v>
      </c>
      <c r="D798" s="7" t="s">
        <v>19</v>
      </c>
      <c r="E798" s="7" t="s">
        <v>20</v>
      </c>
      <c r="F798" s="7" t="s">
        <v>184</v>
      </c>
      <c r="G798" s="7" t="e">
        <f t="shared" ca="1" si="34"/>
        <v>#NAME?</v>
      </c>
      <c r="H798" s="24" t="s">
        <v>134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127</v>
      </c>
      <c r="T798" s="7" t="s">
        <v>2682</v>
      </c>
      <c r="U798" s="7" t="s">
        <v>20</v>
      </c>
      <c r="V798" s="24" t="e">
        <f t="shared" ca="1" si="35"/>
        <v>#NAME?</v>
      </c>
      <c r="W798" s="7"/>
      <c r="X798" s="7"/>
      <c r="Y798" s="29" t="s">
        <v>129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2683</v>
      </c>
      <c r="C799" s="39" t="s">
        <v>2684</v>
      </c>
      <c r="D799" s="7" t="s">
        <v>19</v>
      </c>
      <c r="E799" s="7" t="s">
        <v>20</v>
      </c>
      <c r="F799" s="7" t="s">
        <v>720</v>
      </c>
      <c r="G799" s="7" t="e">
        <f t="shared" ca="1" si="34"/>
        <v>#NAME?</v>
      </c>
      <c r="H799" s="24" t="s">
        <v>134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127</v>
      </c>
      <c r="T799" s="12" t="s">
        <v>2685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129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2686</v>
      </c>
      <c r="C800" s="39" t="s">
        <v>2687</v>
      </c>
      <c r="D800" s="7" t="s">
        <v>19</v>
      </c>
      <c r="E800" s="7" t="s">
        <v>66</v>
      </c>
      <c r="F800" s="7" t="s">
        <v>67</v>
      </c>
      <c r="G800" s="7" t="e">
        <f t="shared" ca="1" si="34"/>
        <v>#NAME?</v>
      </c>
      <c r="H800" s="24" t="s">
        <v>134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2688</v>
      </c>
      <c r="R800" s="90"/>
      <c r="S800" s="7" t="s">
        <v>127</v>
      </c>
      <c r="T800" s="12" t="s">
        <v>2689</v>
      </c>
      <c r="U800" s="7" t="s">
        <v>66</v>
      </c>
      <c r="V800" s="24" t="e">
        <f t="shared" ca="1" si="35"/>
        <v>#NAME?</v>
      </c>
      <c r="W800" s="7"/>
      <c r="X800" s="7" t="s">
        <v>152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2690</v>
      </c>
      <c r="C801" s="4" t="s">
        <v>2691</v>
      </c>
      <c r="D801" s="7" t="s">
        <v>46</v>
      </c>
      <c r="E801" s="7" t="s">
        <v>20</v>
      </c>
      <c r="F801" s="7" t="s">
        <v>261</v>
      </c>
      <c r="G801" s="7" t="e">
        <f t="shared" ca="1" si="34"/>
        <v>#NAME?</v>
      </c>
      <c r="H801" s="24" t="s">
        <v>125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127</v>
      </c>
      <c r="T801" s="7" t="s">
        <v>2692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2693</v>
      </c>
      <c r="C802" s="4" t="s">
        <v>2694</v>
      </c>
      <c r="D802" s="7" t="s">
        <v>19</v>
      </c>
      <c r="E802" s="7" t="s">
        <v>20</v>
      </c>
      <c r="F802" s="7" t="s">
        <v>195</v>
      </c>
      <c r="G802" s="7" t="e">
        <f t="shared" ca="1" si="34"/>
        <v>#NAME?</v>
      </c>
      <c r="H802" s="24" t="s">
        <v>145</v>
      </c>
      <c r="I802" s="24" t="s">
        <v>229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2695</v>
      </c>
      <c r="R802" s="28"/>
      <c r="S802" s="7" t="s">
        <v>127</v>
      </c>
      <c r="T802" s="7" t="s">
        <v>2696</v>
      </c>
      <c r="U802" s="7" t="s">
        <v>20</v>
      </c>
      <c r="V802" s="24" t="e">
        <f t="shared" ca="1" si="35"/>
        <v>#NAME?</v>
      </c>
      <c r="W802" s="7"/>
      <c r="X802" s="7" t="s">
        <v>152</v>
      </c>
      <c r="Y802" s="29" t="s">
        <v>129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2697</v>
      </c>
      <c r="C803" s="4" t="s">
        <v>2698</v>
      </c>
      <c r="D803" s="7" t="s">
        <v>19</v>
      </c>
      <c r="E803" s="7" t="s">
        <v>66</v>
      </c>
      <c r="F803" s="7" t="s">
        <v>67</v>
      </c>
      <c r="G803" s="7" t="e">
        <f t="shared" ca="1" si="34"/>
        <v>#NAME?</v>
      </c>
      <c r="H803" s="24" t="s">
        <v>134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127</v>
      </c>
      <c r="T803" s="7" t="s">
        <v>2699</v>
      </c>
      <c r="U803" s="7" t="s">
        <v>66</v>
      </c>
      <c r="V803" s="24" t="e">
        <f t="shared" ca="1" si="35"/>
        <v>#NAME?</v>
      </c>
      <c r="W803" s="7"/>
      <c r="X803" s="7"/>
      <c r="Y803" s="29" t="s">
        <v>240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2700</v>
      </c>
      <c r="C804" s="141" t="s">
        <v>2701</v>
      </c>
      <c r="D804" s="7" t="s">
        <v>19</v>
      </c>
      <c r="E804" s="7" t="s">
        <v>66</v>
      </c>
      <c r="F804" s="7" t="s">
        <v>67</v>
      </c>
      <c r="G804" s="7" t="e">
        <f t="shared" ca="1" si="34"/>
        <v>#NAME?</v>
      </c>
      <c r="H804" s="24" t="s">
        <v>145</v>
      </c>
      <c r="I804" s="24" t="s">
        <v>208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127</v>
      </c>
      <c r="T804" s="7" t="s">
        <v>2702</v>
      </c>
      <c r="U804" s="7" t="s">
        <v>66</v>
      </c>
      <c r="V804" s="24" t="e">
        <f t="shared" ca="1" si="35"/>
        <v>#NAME?</v>
      </c>
      <c r="W804" s="7"/>
      <c r="X804" s="7"/>
      <c r="Y804" s="29" t="s">
        <v>129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2703</v>
      </c>
      <c r="C805" s="4" t="s">
        <v>2704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127</v>
      </c>
      <c r="T805" s="7" t="s">
        <v>2705</v>
      </c>
      <c r="U805" s="7" t="s">
        <v>66</v>
      </c>
      <c r="V805" s="24" t="e">
        <f t="shared" ca="1" si="35"/>
        <v>#NAME?</v>
      </c>
      <c r="W805" s="7"/>
      <c r="X805" s="7"/>
      <c r="Y805" s="29" t="s">
        <v>129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124</v>
      </c>
      <c r="C806" s="4" t="s">
        <v>2706</v>
      </c>
      <c r="D806" s="7" t="s">
        <v>46</v>
      </c>
      <c r="E806" s="7" t="s">
        <v>20</v>
      </c>
      <c r="F806" s="7" t="s">
        <v>124</v>
      </c>
      <c r="G806" s="7" t="e">
        <f t="shared" ca="1" si="34"/>
        <v>#NAME?</v>
      </c>
      <c r="H806" s="24" t="s">
        <v>125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127</v>
      </c>
      <c r="T806" s="7" t="s">
        <v>2707</v>
      </c>
      <c r="U806" s="29" t="s">
        <v>20</v>
      </c>
      <c r="V806" s="24" t="e">
        <f t="shared" ca="1" si="35"/>
        <v>#NAME?</v>
      </c>
      <c r="W806" s="7"/>
      <c r="X806" s="7"/>
      <c r="Y806" s="29" t="s">
        <v>240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2708</v>
      </c>
      <c r="C807" s="89" t="s">
        <v>2709</v>
      </c>
      <c r="D807" s="7" t="s">
        <v>46</v>
      </c>
      <c r="E807" s="7" t="s">
        <v>20</v>
      </c>
      <c r="F807" s="7" t="s">
        <v>277</v>
      </c>
      <c r="G807" s="7" t="e">
        <f t="shared" ca="1" si="34"/>
        <v>#NAME?</v>
      </c>
      <c r="H807" s="24" t="s">
        <v>145</v>
      </c>
      <c r="I807" s="24" t="s">
        <v>229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127</v>
      </c>
      <c r="T807" s="7" t="s">
        <v>2710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129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2711</v>
      </c>
      <c r="C808" s="60" t="s">
        <v>2712</v>
      </c>
      <c r="D808" s="7" t="s">
        <v>46</v>
      </c>
      <c r="E808" s="7" t="s">
        <v>20</v>
      </c>
      <c r="F808" s="7" t="s">
        <v>277</v>
      </c>
      <c r="G808" s="7" t="e">
        <f t="shared" ca="1" si="34"/>
        <v>#NAME?</v>
      </c>
      <c r="H808" s="24" t="s">
        <v>134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333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127</v>
      </c>
      <c r="T808" s="7" t="s">
        <v>2710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129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2713</v>
      </c>
      <c r="C809" s="4" t="s">
        <v>2714</v>
      </c>
      <c r="D809" s="7" t="s">
        <v>46</v>
      </c>
      <c r="E809" s="7" t="s">
        <v>20</v>
      </c>
      <c r="F809" s="7" t="s">
        <v>277</v>
      </c>
      <c r="G809" s="7" t="e">
        <f t="shared" ca="1" si="34"/>
        <v>#NAME?</v>
      </c>
      <c r="H809" s="24" t="s">
        <v>125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245</v>
      </c>
      <c r="N809" s="26">
        <v>8.0000000000000002E-3</v>
      </c>
      <c r="O809" s="7" t="s">
        <v>25</v>
      </c>
      <c r="P809" s="27">
        <v>0</v>
      </c>
      <c r="Q809" s="45"/>
      <c r="R809" s="28" t="s">
        <v>297</v>
      </c>
      <c r="S809" s="7" t="s">
        <v>127</v>
      </c>
      <c r="T809" s="7" t="s">
        <v>2715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2716</v>
      </c>
      <c r="C810" s="4" t="s">
        <v>2717</v>
      </c>
      <c r="D810" s="7" t="s">
        <v>19</v>
      </c>
      <c r="E810" s="7" t="s">
        <v>20</v>
      </c>
      <c r="F810" s="7" t="s">
        <v>184</v>
      </c>
      <c r="G810" s="7" t="e">
        <f t="shared" ca="1" si="34"/>
        <v>#NAME?</v>
      </c>
      <c r="H810" s="24" t="s">
        <v>145</v>
      </c>
      <c r="I810" s="24" t="s">
        <v>146</v>
      </c>
      <c r="J810" s="7" t="str">
        <f t="shared" si="37"/>
        <v>Não</v>
      </c>
      <c r="K810" s="25">
        <v>44879</v>
      </c>
      <c r="L810" s="25"/>
      <c r="M810" s="7" t="s">
        <v>185</v>
      </c>
      <c r="N810" s="26">
        <v>0</v>
      </c>
      <c r="O810" s="7" t="s">
        <v>25</v>
      </c>
      <c r="P810" s="27">
        <v>0</v>
      </c>
      <c r="Q810" s="28"/>
      <c r="R810" s="28" t="s">
        <v>2718</v>
      </c>
      <c r="S810" s="7" t="s">
        <v>127</v>
      </c>
      <c r="T810" s="7" t="s">
        <v>2719</v>
      </c>
      <c r="U810" s="7" t="s">
        <v>20</v>
      </c>
      <c r="V810" s="24" t="e">
        <f t="shared" ca="1" si="35"/>
        <v>#NAME?</v>
      </c>
      <c r="W810" s="7"/>
      <c r="X810" s="7"/>
      <c r="Y810" s="29" t="s">
        <v>240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2720</v>
      </c>
      <c r="C811" s="44" t="s">
        <v>2721</v>
      </c>
      <c r="D811" s="7" t="s">
        <v>46</v>
      </c>
      <c r="E811" s="7" t="s">
        <v>20</v>
      </c>
      <c r="F811" s="7" t="s">
        <v>124</v>
      </c>
      <c r="G811" s="7" t="e">
        <f t="shared" ca="1" si="34"/>
        <v>#NAME?</v>
      </c>
      <c r="H811" s="24" t="s">
        <v>145</v>
      </c>
      <c r="I811" s="24" t="s">
        <v>229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127</v>
      </c>
      <c r="T811" s="7" t="s">
        <v>2722</v>
      </c>
      <c r="U811" s="7" t="s">
        <v>20</v>
      </c>
      <c r="V811" s="24" t="e">
        <f t="shared" ca="1" si="35"/>
        <v>#NAME?</v>
      </c>
      <c r="W811" s="7"/>
      <c r="X811" s="7"/>
      <c r="Y811" s="29" t="s">
        <v>240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2723</v>
      </c>
      <c r="C812" s="4" t="s">
        <v>2724</v>
      </c>
      <c r="D812" s="7" t="s">
        <v>19</v>
      </c>
      <c r="E812" s="7" t="s">
        <v>20</v>
      </c>
      <c r="F812" s="7" t="s">
        <v>360</v>
      </c>
      <c r="G812" s="7" t="e">
        <f t="shared" ca="1" si="34"/>
        <v>#NAME?</v>
      </c>
      <c r="H812" s="24" t="s">
        <v>134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242</v>
      </c>
      <c r="N812" s="26">
        <v>2.5000000000000001E-2</v>
      </c>
      <c r="O812" s="7" t="s">
        <v>167</v>
      </c>
      <c r="P812" s="27">
        <v>0.2</v>
      </c>
      <c r="Q812" s="28"/>
      <c r="R812" s="28"/>
      <c r="S812" s="7" t="s">
        <v>127</v>
      </c>
      <c r="T812" s="4" t="s">
        <v>2725</v>
      </c>
      <c r="U812" s="7" t="s">
        <v>20</v>
      </c>
      <c r="V812" s="24" t="e">
        <f t="shared" ca="1" si="35"/>
        <v>#NAME?</v>
      </c>
      <c r="W812" s="7"/>
      <c r="X812" s="7"/>
      <c r="Y812" s="29" t="s">
        <v>129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2726</v>
      </c>
      <c r="C813" s="4" t="s">
        <v>2727</v>
      </c>
      <c r="D813" s="7" t="s">
        <v>19</v>
      </c>
      <c r="E813" s="7" t="s">
        <v>66</v>
      </c>
      <c r="F813" s="7" t="s">
        <v>67</v>
      </c>
      <c r="G813" s="7" t="e">
        <f t="shared" ca="1" si="34"/>
        <v>#NAME?</v>
      </c>
      <c r="H813" s="24" t="s">
        <v>145</v>
      </c>
      <c r="I813" s="24" t="s">
        <v>897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2728</v>
      </c>
      <c r="R813" s="28"/>
      <c r="S813" s="7" t="s">
        <v>127</v>
      </c>
      <c r="T813" s="7" t="s">
        <v>2729</v>
      </c>
      <c r="U813" s="7" t="s">
        <v>48</v>
      </c>
      <c r="V813" s="24" t="e">
        <f t="shared" ca="1" si="35"/>
        <v>#NAME?</v>
      </c>
      <c r="W813" s="7"/>
      <c r="X813" s="7"/>
      <c r="Y813" s="29" t="s">
        <v>240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2730</v>
      </c>
      <c r="C814" s="4" t="s">
        <v>2731</v>
      </c>
      <c r="D814" s="7" t="s">
        <v>19</v>
      </c>
      <c r="E814" s="7" t="s">
        <v>66</v>
      </c>
      <c r="F814" s="7" t="s">
        <v>67</v>
      </c>
      <c r="G814" s="7" t="e">
        <f t="shared" ca="1" si="34"/>
        <v>#NAME?</v>
      </c>
      <c r="H814" s="24" t="s">
        <v>145</v>
      </c>
      <c r="I814" s="24" t="s">
        <v>988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127</v>
      </c>
      <c r="T814" s="7" t="s">
        <v>2729</v>
      </c>
      <c r="U814" s="7" t="s">
        <v>66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2732</v>
      </c>
      <c r="C815" s="4" t="s">
        <v>2733</v>
      </c>
      <c r="D815" s="7" t="s">
        <v>46</v>
      </c>
      <c r="E815" s="7" t="s">
        <v>20</v>
      </c>
      <c r="F815" s="7" t="s">
        <v>1840</v>
      </c>
      <c r="G815" s="7" t="e">
        <f t="shared" ca="1" si="34"/>
        <v>#NAME?</v>
      </c>
      <c r="H815" s="24" t="s">
        <v>145</v>
      </c>
      <c r="I815" s="24" t="s">
        <v>921</v>
      </c>
      <c r="J815" s="7" t="str">
        <f t="shared" si="37"/>
        <v>Não</v>
      </c>
      <c r="K815" s="25">
        <v>44973</v>
      </c>
      <c r="L815" s="7"/>
      <c r="M815" s="7" t="s">
        <v>245</v>
      </c>
      <c r="N815" s="26">
        <v>8.0000000000000002E-3</v>
      </c>
      <c r="O815" s="7" t="s">
        <v>246</v>
      </c>
      <c r="P815" s="27">
        <v>0.1</v>
      </c>
      <c r="Q815" s="28"/>
      <c r="R815" s="28"/>
      <c r="S815" s="7" t="s">
        <v>127</v>
      </c>
      <c r="T815" s="7" t="s">
        <v>2734</v>
      </c>
      <c r="U815" s="7" t="s">
        <v>20</v>
      </c>
      <c r="V815" s="24" t="e">
        <f t="shared" ca="1" si="35"/>
        <v>#NAME?</v>
      </c>
      <c r="W815" s="7"/>
      <c r="X815" s="7"/>
      <c r="Y815" s="29" t="s">
        <v>129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2735</v>
      </c>
      <c r="C816" s="4" t="s">
        <v>2736</v>
      </c>
      <c r="D816" s="7" t="s">
        <v>19</v>
      </c>
      <c r="E816" s="7" t="s">
        <v>35</v>
      </c>
      <c r="F816" s="7" t="s">
        <v>199</v>
      </c>
      <c r="G816" s="7" t="e">
        <f t="shared" ca="1" si="34"/>
        <v>#NAME?</v>
      </c>
      <c r="H816" s="24" t="s">
        <v>134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127</v>
      </c>
      <c r="T816" s="7" t="s">
        <v>2737</v>
      </c>
      <c r="U816" s="7" t="s">
        <v>202</v>
      </c>
      <c r="V816" s="24" t="e">
        <f t="shared" ca="1" si="35"/>
        <v>#NAME?</v>
      </c>
      <c r="W816" s="7"/>
      <c r="X816" s="7"/>
      <c r="Y816" s="29" t="s">
        <v>240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2738</v>
      </c>
      <c r="C817" s="4" t="s">
        <v>2739</v>
      </c>
      <c r="D817" s="7" t="s">
        <v>19</v>
      </c>
      <c r="E817" s="7" t="s">
        <v>66</v>
      </c>
      <c r="F817" s="7" t="s">
        <v>144</v>
      </c>
      <c r="G817" s="7" t="e">
        <f t="shared" ca="1" si="34"/>
        <v>#NAME?</v>
      </c>
      <c r="H817" s="24" t="s">
        <v>134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245</v>
      </c>
      <c r="N817" s="26">
        <v>8.0000000000000002E-3</v>
      </c>
      <c r="O817" s="7" t="s">
        <v>246</v>
      </c>
      <c r="P817" s="27">
        <v>0.1</v>
      </c>
      <c r="Q817" s="90"/>
      <c r="R817" s="90"/>
      <c r="S817" s="7" t="s">
        <v>127</v>
      </c>
      <c r="T817" s="7" t="s">
        <v>2740</v>
      </c>
      <c r="U817" s="7" t="s">
        <v>66</v>
      </c>
      <c r="V817" s="24" t="e">
        <f t="shared" ca="1" si="35"/>
        <v>#NAME?</v>
      </c>
      <c r="W817" s="7"/>
      <c r="X817" s="7" t="s">
        <v>42</v>
      </c>
      <c r="Y817" s="29" t="s">
        <v>129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2741</v>
      </c>
      <c r="C818" s="4" t="s">
        <v>2742</v>
      </c>
      <c r="D818" s="7" t="s">
        <v>19</v>
      </c>
      <c r="E818" s="7" t="s">
        <v>66</v>
      </c>
      <c r="F818" s="7" t="s">
        <v>144</v>
      </c>
      <c r="G818" s="7" t="e">
        <f t="shared" ca="1" si="34"/>
        <v>#NAME?</v>
      </c>
      <c r="H818" s="24" t="s">
        <v>134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127</v>
      </c>
      <c r="T818" s="7" t="s">
        <v>2740</v>
      </c>
      <c r="U818" s="7" t="s">
        <v>66</v>
      </c>
      <c r="V818" s="24" t="e">
        <f t="shared" ca="1" si="35"/>
        <v>#NAME?</v>
      </c>
      <c r="W818" s="7"/>
      <c r="X818" s="7"/>
      <c r="Y818" s="29" t="s">
        <v>129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2743</v>
      </c>
      <c r="C819" s="4" t="s">
        <v>2744</v>
      </c>
      <c r="D819" s="7" t="s">
        <v>46</v>
      </c>
      <c r="E819" s="7" t="s">
        <v>20</v>
      </c>
      <c r="F819" s="7" t="s">
        <v>477</v>
      </c>
      <c r="G819" s="7" t="e">
        <f t="shared" ca="1" si="34"/>
        <v>#NAME?</v>
      </c>
      <c r="H819" s="24" t="s">
        <v>145</v>
      </c>
      <c r="I819" s="24" t="s">
        <v>229</v>
      </c>
      <c r="J819" s="7" t="str">
        <f t="shared" si="37"/>
        <v>Não</v>
      </c>
      <c r="K819" s="25">
        <v>45168</v>
      </c>
      <c r="L819" s="25"/>
      <c r="M819" s="7" t="s">
        <v>345</v>
      </c>
      <c r="N819" s="26">
        <v>5.0000000000000001E-3</v>
      </c>
      <c r="O819" s="7" t="s">
        <v>25</v>
      </c>
      <c r="P819" s="27">
        <v>0</v>
      </c>
      <c r="Q819" s="90"/>
      <c r="R819" s="28" t="s">
        <v>692</v>
      </c>
      <c r="S819" s="7" t="s">
        <v>127</v>
      </c>
      <c r="T819" s="7" t="s">
        <v>2745</v>
      </c>
      <c r="U819" s="7" t="s">
        <v>20</v>
      </c>
      <c r="V819" s="24" t="e">
        <f t="shared" ca="1" si="35"/>
        <v>#NAME?</v>
      </c>
      <c r="W819" s="7"/>
      <c r="X819" s="7"/>
      <c r="Y819" s="29" t="s">
        <v>240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2746</v>
      </c>
      <c r="C820" s="4" t="s">
        <v>2747</v>
      </c>
      <c r="D820" s="7" t="s">
        <v>19</v>
      </c>
      <c r="E820" s="7" t="s">
        <v>20</v>
      </c>
      <c r="F820" s="7" t="s">
        <v>184</v>
      </c>
      <c r="G820" s="7" t="e">
        <f t="shared" ca="1" si="34"/>
        <v>#NAME?</v>
      </c>
      <c r="H820" s="24" t="s">
        <v>145</v>
      </c>
      <c r="I820" s="24" t="s">
        <v>146</v>
      </c>
      <c r="J820" s="7" t="str">
        <f t="shared" si="37"/>
        <v>Não</v>
      </c>
      <c r="K820" s="25">
        <v>45163</v>
      </c>
      <c r="L820" s="25"/>
      <c r="M820" s="7" t="s">
        <v>454</v>
      </c>
      <c r="N820" s="26">
        <v>5.0000000000000001E-3</v>
      </c>
      <c r="O820" s="7" t="s">
        <v>25</v>
      </c>
      <c r="P820" s="27">
        <v>0</v>
      </c>
      <c r="Q820" s="28"/>
      <c r="R820" s="139" t="s">
        <v>2748</v>
      </c>
      <c r="S820" s="7" t="s">
        <v>171</v>
      </c>
      <c r="T820" s="7" t="s">
        <v>2749</v>
      </c>
      <c r="U820" s="7" t="s">
        <v>20</v>
      </c>
      <c r="V820" s="24" t="e">
        <f t="shared" ca="1" si="35"/>
        <v>#NAME?</v>
      </c>
      <c r="W820" s="7"/>
      <c r="X820" s="7"/>
      <c r="Y820" s="29" t="s">
        <v>421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2750</v>
      </c>
      <c r="C821" s="4" t="s">
        <v>2751</v>
      </c>
      <c r="D821" s="7" t="s">
        <v>71</v>
      </c>
      <c r="E821" s="7" t="s">
        <v>66</v>
      </c>
      <c r="F821" s="7" t="s">
        <v>72</v>
      </c>
      <c r="G821" s="7" t="e">
        <f t="shared" ca="1" si="34"/>
        <v>#NAME?</v>
      </c>
      <c r="H821" s="24" t="s">
        <v>134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127</v>
      </c>
      <c r="T821" s="7" t="s">
        <v>2752</v>
      </c>
      <c r="U821" s="7" t="s">
        <v>66</v>
      </c>
      <c r="V821" s="24" t="e">
        <f t="shared" ca="1" si="35"/>
        <v>#NAME?</v>
      </c>
      <c r="W821" s="7"/>
      <c r="X821" s="7"/>
      <c r="Y821" s="29" t="s">
        <v>129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2753</v>
      </c>
      <c r="C822" s="4" t="s">
        <v>2754</v>
      </c>
      <c r="D822" s="7" t="s">
        <v>19</v>
      </c>
      <c r="E822" s="7" t="s">
        <v>66</v>
      </c>
      <c r="F822" s="7" t="s">
        <v>144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2755</v>
      </c>
      <c r="R822" s="28"/>
      <c r="S822" s="7" t="s">
        <v>127</v>
      </c>
      <c r="T822" s="7" t="s">
        <v>2756</v>
      </c>
      <c r="U822" s="7" t="s">
        <v>66</v>
      </c>
      <c r="V822" s="24" t="e">
        <f t="shared" ca="1" si="35"/>
        <v>#NAME?</v>
      </c>
      <c r="W822" s="7"/>
      <c r="X822" s="7"/>
      <c r="Y822" s="29" t="s">
        <v>129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2757</v>
      </c>
      <c r="C823" s="39" t="s">
        <v>2758</v>
      </c>
      <c r="D823" s="7" t="s">
        <v>71</v>
      </c>
      <c r="E823" s="7" t="s">
        <v>66</v>
      </c>
      <c r="F823" s="7" t="s">
        <v>72</v>
      </c>
      <c r="G823" s="7" t="e">
        <f t="shared" ca="1" si="34"/>
        <v>#NAME?</v>
      </c>
      <c r="H823" s="24" t="s">
        <v>134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127</v>
      </c>
      <c r="T823" s="6" t="s">
        <v>2759</v>
      </c>
      <c r="U823" s="7" t="s">
        <v>66</v>
      </c>
      <c r="V823" s="24" t="e">
        <f t="shared" ca="1" si="35"/>
        <v>#NAME?</v>
      </c>
      <c r="W823" s="7"/>
      <c r="X823" s="7" t="s">
        <v>42</v>
      </c>
      <c r="Y823" s="29" t="s">
        <v>129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2757</v>
      </c>
      <c r="C824" s="39" t="s">
        <v>2760</v>
      </c>
      <c r="D824" s="7" t="s">
        <v>71</v>
      </c>
      <c r="E824" s="7" t="s">
        <v>66</v>
      </c>
      <c r="F824" s="7" t="s">
        <v>72</v>
      </c>
      <c r="G824" s="7" t="e">
        <f t="shared" ca="1" si="34"/>
        <v>#NAME?</v>
      </c>
      <c r="H824" s="24" t="s">
        <v>125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2761</v>
      </c>
      <c r="S824" s="7" t="s">
        <v>127</v>
      </c>
      <c r="T824" s="6" t="s">
        <v>2759</v>
      </c>
      <c r="U824" s="7" t="s">
        <v>66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2762</v>
      </c>
      <c r="C825" s="4" t="s">
        <v>2763</v>
      </c>
      <c r="D825" s="7" t="s">
        <v>19</v>
      </c>
      <c r="E825" s="7" t="s">
        <v>35</v>
      </c>
      <c r="F825" s="7" t="s">
        <v>250</v>
      </c>
      <c r="G825" s="7" t="e">
        <f t="shared" ca="1" si="34"/>
        <v>#NAME?</v>
      </c>
      <c r="H825" s="24" t="s">
        <v>145</v>
      </c>
      <c r="I825" s="24" t="s">
        <v>229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2764</v>
      </c>
      <c r="S825" s="7" t="s">
        <v>127</v>
      </c>
      <c r="T825" s="7" t="s">
        <v>2765</v>
      </c>
      <c r="U825" s="7" t="s">
        <v>202</v>
      </c>
      <c r="V825" s="24" t="e">
        <f t="shared" ca="1" si="35"/>
        <v>#NAME?</v>
      </c>
      <c r="W825" s="7"/>
      <c r="X825" s="7"/>
      <c r="Y825" s="29" t="s">
        <v>129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2766</v>
      </c>
      <c r="C826" s="4" t="s">
        <v>2767</v>
      </c>
      <c r="D826" s="7" t="s">
        <v>46</v>
      </c>
      <c r="E826" s="7" t="s">
        <v>20</v>
      </c>
      <c r="F826" s="7" t="s">
        <v>124</v>
      </c>
      <c r="G826" s="7" t="e">
        <f t="shared" ca="1" si="34"/>
        <v>#NAME?</v>
      </c>
      <c r="H826" s="24" t="s">
        <v>125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127</v>
      </c>
      <c r="T826" s="7" t="s">
        <v>2768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2766</v>
      </c>
      <c r="C827" s="44" t="s">
        <v>2769</v>
      </c>
      <c r="D827" s="7" t="s">
        <v>46</v>
      </c>
      <c r="E827" s="7" t="s">
        <v>20</v>
      </c>
      <c r="F827" s="7" t="s">
        <v>124</v>
      </c>
      <c r="G827" s="7" t="e">
        <f t="shared" ca="1" si="34"/>
        <v>#NAME?</v>
      </c>
      <c r="H827" s="24" t="s">
        <v>145</v>
      </c>
      <c r="I827" s="24" t="s">
        <v>146</v>
      </c>
      <c r="J827" s="7" t="str">
        <f t="shared" si="37"/>
        <v>Não</v>
      </c>
      <c r="K827" s="25">
        <v>45187</v>
      </c>
      <c r="L827" s="7"/>
      <c r="M827" s="7" t="s">
        <v>211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127</v>
      </c>
      <c r="T827" s="7" t="s">
        <v>2768</v>
      </c>
      <c r="U827" s="7" t="s">
        <v>20</v>
      </c>
      <c r="V827" s="24" t="e">
        <f t="shared" ca="1" si="35"/>
        <v>#NAME?</v>
      </c>
      <c r="W827" s="7"/>
      <c r="X827" s="7"/>
      <c r="Y827" s="29" t="s">
        <v>129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2770</v>
      </c>
      <c r="C828" s="4" t="s">
        <v>2771</v>
      </c>
      <c r="D828" s="7" t="s">
        <v>19</v>
      </c>
      <c r="E828" s="7" t="s">
        <v>66</v>
      </c>
      <c r="F828" s="7" t="s">
        <v>67</v>
      </c>
      <c r="G828" s="7" t="e">
        <f t="shared" ca="1" si="34"/>
        <v>#NAME?</v>
      </c>
      <c r="H828" s="24" t="s">
        <v>134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345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127</v>
      </c>
      <c r="T828" s="7" t="s">
        <v>2772</v>
      </c>
      <c r="U828" s="7" t="s">
        <v>66</v>
      </c>
      <c r="V828" s="24" t="e">
        <f t="shared" ca="1" si="35"/>
        <v>#NAME?</v>
      </c>
      <c r="W828" s="7"/>
      <c r="X828" s="7"/>
      <c r="Y828" s="29" t="s">
        <v>129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2770</v>
      </c>
      <c r="C829" s="4" t="s">
        <v>2773</v>
      </c>
      <c r="D829" s="7" t="s">
        <v>19</v>
      </c>
      <c r="E829" s="7" t="s">
        <v>66</v>
      </c>
      <c r="F829" s="7" t="s">
        <v>67</v>
      </c>
      <c r="G829" s="7" t="e">
        <f t="shared" ca="1" si="34"/>
        <v>#NAME?</v>
      </c>
      <c r="H829" s="24" t="s">
        <v>134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2774</v>
      </c>
      <c r="R829" s="45"/>
      <c r="S829" s="7" t="s">
        <v>127</v>
      </c>
      <c r="T829" s="7" t="s">
        <v>2772</v>
      </c>
      <c r="U829" s="7" t="s">
        <v>66</v>
      </c>
      <c r="V829" s="24" t="e">
        <f t="shared" ca="1" si="35"/>
        <v>#NAME?</v>
      </c>
      <c r="W829" s="7"/>
      <c r="X829" s="7"/>
      <c r="Y829" s="29" t="s">
        <v>129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2775</v>
      </c>
      <c r="C830" s="44" t="s">
        <v>2776</v>
      </c>
      <c r="D830" s="7" t="s">
        <v>19</v>
      </c>
      <c r="E830" s="7" t="s">
        <v>66</v>
      </c>
      <c r="F830" s="7" t="s">
        <v>144</v>
      </c>
      <c r="G830" s="7" t="e">
        <f t="shared" ca="1" si="34"/>
        <v>#NAME?</v>
      </c>
      <c r="H830" s="24" t="s">
        <v>134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185</v>
      </c>
      <c r="N830" s="26">
        <v>1.4999999999999999E-2</v>
      </c>
      <c r="O830" s="7" t="s">
        <v>39</v>
      </c>
      <c r="P830" s="27">
        <v>0.1</v>
      </c>
      <c r="Q830" s="45"/>
      <c r="R830" s="36" t="s">
        <v>2777</v>
      </c>
      <c r="S830" s="7" t="s">
        <v>127</v>
      </c>
      <c r="T830" s="7" t="s">
        <v>2778</v>
      </c>
      <c r="U830" s="7" t="s">
        <v>66</v>
      </c>
      <c r="V830" s="24" t="e">
        <f t="shared" ca="1" si="35"/>
        <v>#NAME?</v>
      </c>
      <c r="W830" s="7"/>
      <c r="X830" s="7"/>
      <c r="Y830" s="29" t="s">
        <v>129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2779</v>
      </c>
      <c r="C831" s="4" t="s">
        <v>2780</v>
      </c>
      <c r="D831" s="7" t="s">
        <v>19</v>
      </c>
      <c r="E831" s="7" t="s">
        <v>35</v>
      </c>
      <c r="F831" s="7" t="s">
        <v>199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872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127</v>
      </c>
      <c r="T831" s="7" t="s">
        <v>2781</v>
      </c>
      <c r="U831" s="7" t="s">
        <v>48</v>
      </c>
      <c r="V831" s="24" t="e">
        <f t="shared" ca="1" si="35"/>
        <v>#NAME?</v>
      </c>
      <c r="W831" s="7"/>
      <c r="X831" s="7"/>
      <c r="Y831" s="29" t="s">
        <v>129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2782</v>
      </c>
      <c r="C832" s="41" t="s">
        <v>2783</v>
      </c>
      <c r="D832" s="7" t="s">
        <v>19</v>
      </c>
      <c r="E832" s="7" t="s">
        <v>35</v>
      </c>
      <c r="F832" s="7" t="s">
        <v>250</v>
      </c>
      <c r="G832" s="7" t="e">
        <f t="shared" ca="1" si="34"/>
        <v>#NAME?</v>
      </c>
      <c r="H832" s="24" t="s">
        <v>134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2784</v>
      </c>
      <c r="R832" s="28"/>
      <c r="S832" s="7" t="s">
        <v>127</v>
      </c>
      <c r="T832" s="7" t="s">
        <v>2785</v>
      </c>
      <c r="U832" s="7" t="s">
        <v>41</v>
      </c>
      <c r="V832" s="24" t="e">
        <f t="shared" ca="1" si="35"/>
        <v>#NAME?</v>
      </c>
      <c r="W832" s="7"/>
      <c r="X832" s="7"/>
      <c r="Y832" s="29" t="s">
        <v>129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2786</v>
      </c>
      <c r="C833" s="41" t="s">
        <v>2787</v>
      </c>
      <c r="D833" s="7" t="s">
        <v>132</v>
      </c>
      <c r="E833" s="7" t="s">
        <v>66</v>
      </c>
      <c r="F833" s="7" t="s">
        <v>133</v>
      </c>
      <c r="G833" s="7" t="e">
        <f t="shared" ca="1" si="34"/>
        <v>#NAME?</v>
      </c>
      <c r="H833" s="24" t="s">
        <v>134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2788</v>
      </c>
      <c r="R833" s="28"/>
      <c r="S833" s="7" t="s">
        <v>127</v>
      </c>
      <c r="T833" s="7" t="s">
        <v>2789</v>
      </c>
      <c r="U833" s="7" t="s">
        <v>66</v>
      </c>
      <c r="V833" s="24" t="e">
        <f t="shared" ca="1" si="35"/>
        <v>#NAME?</v>
      </c>
      <c r="W833" s="7"/>
      <c r="X833" s="7" t="s">
        <v>137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2790</v>
      </c>
      <c r="C834" s="4" t="s">
        <v>2791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185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127</v>
      </c>
      <c r="T834" s="7" t="s">
        <v>2792</v>
      </c>
      <c r="U834" s="7" t="s">
        <v>20</v>
      </c>
      <c r="V834" s="24" t="e">
        <f t="shared" ca="1" si="35"/>
        <v>#NAME?</v>
      </c>
      <c r="W834" s="7"/>
      <c r="X834" s="7"/>
      <c r="Y834" s="29" t="s">
        <v>240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2793</v>
      </c>
      <c r="C835" s="39" t="s">
        <v>2794</v>
      </c>
      <c r="D835" s="7" t="s">
        <v>19</v>
      </c>
      <c r="E835" s="7" t="s">
        <v>20</v>
      </c>
      <c r="F835" s="7" t="s">
        <v>184</v>
      </c>
      <c r="G835" s="7" t="e">
        <f t="shared" ca="1" si="34"/>
        <v>#NAME?</v>
      </c>
      <c r="H835" s="24" t="s">
        <v>125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127</v>
      </c>
      <c r="T835" s="12" t="s">
        <v>2795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2796</v>
      </c>
      <c r="C836" s="4" t="s">
        <v>2797</v>
      </c>
      <c r="D836" s="7" t="s">
        <v>19</v>
      </c>
      <c r="E836" s="7" t="s">
        <v>66</v>
      </c>
      <c r="F836" s="7" t="s">
        <v>2039</v>
      </c>
      <c r="G836" s="7" t="e">
        <f t="shared" ca="1" si="34"/>
        <v>#NAME?</v>
      </c>
      <c r="H836" s="24" t="s">
        <v>145</v>
      </c>
      <c r="I836" s="24" t="s">
        <v>146</v>
      </c>
      <c r="J836" s="7" t="str">
        <f t="shared" si="37"/>
        <v>Não</v>
      </c>
      <c r="K836" s="25">
        <v>45099</v>
      </c>
      <c r="L836" s="25"/>
      <c r="M836" s="7" t="s">
        <v>185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127</v>
      </c>
      <c r="T836" s="7" t="s">
        <v>2798</v>
      </c>
      <c r="U836" s="7" t="s">
        <v>66</v>
      </c>
      <c r="V836" s="24" t="e">
        <f t="shared" ca="1" si="35"/>
        <v>#NAME?</v>
      </c>
      <c r="W836" s="7"/>
      <c r="X836" s="7"/>
      <c r="Y836" s="29" t="s">
        <v>129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2799</v>
      </c>
      <c r="C837" s="4" t="s">
        <v>2800</v>
      </c>
      <c r="D837" s="7" t="s">
        <v>19</v>
      </c>
      <c r="E837" s="7" t="s">
        <v>35</v>
      </c>
      <c r="F837" s="7" t="s">
        <v>250</v>
      </c>
      <c r="G837" s="7" t="e">
        <f t="shared" ca="1" si="34"/>
        <v>#NAME?</v>
      </c>
      <c r="H837" s="24" t="s">
        <v>134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127</v>
      </c>
      <c r="T837" s="7" t="s">
        <v>2801</v>
      </c>
      <c r="U837" s="7" t="s">
        <v>202</v>
      </c>
      <c r="V837" s="24" t="e">
        <f t="shared" ca="1" si="35"/>
        <v>#NAME?</v>
      </c>
      <c r="W837" s="7"/>
      <c r="X837" s="7" t="s">
        <v>152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2802</v>
      </c>
      <c r="C838" s="49" t="s">
        <v>2803</v>
      </c>
      <c r="D838" s="7" t="s">
        <v>19</v>
      </c>
      <c r="E838" s="7" t="s">
        <v>20</v>
      </c>
      <c r="F838" s="7" t="s">
        <v>184</v>
      </c>
      <c r="G838" s="7" t="e">
        <f t="shared" ca="1" si="34"/>
        <v>#NAME?</v>
      </c>
      <c r="H838" s="24" t="s">
        <v>125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245</v>
      </c>
      <c r="N838" s="26">
        <v>8.0000000000000002E-3</v>
      </c>
      <c r="O838" s="7" t="s">
        <v>246</v>
      </c>
      <c r="P838" s="27">
        <v>0.1</v>
      </c>
      <c r="Q838" s="86"/>
      <c r="R838" s="28" t="s">
        <v>297</v>
      </c>
      <c r="S838" s="7" t="s">
        <v>127</v>
      </c>
      <c r="T838" s="7" t="s">
        <v>2804</v>
      </c>
      <c r="U838" s="7" t="s">
        <v>878</v>
      </c>
      <c r="V838" s="24" t="e">
        <f t="shared" ca="1" si="35"/>
        <v>#NAME?</v>
      </c>
      <c r="W838" s="7"/>
      <c r="X838" s="7"/>
      <c r="Y838" s="29" t="s">
        <v>129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2805</v>
      </c>
      <c r="C839" s="4" t="s">
        <v>2806</v>
      </c>
      <c r="D839" s="7" t="s">
        <v>19</v>
      </c>
      <c r="E839" s="7" t="s">
        <v>66</v>
      </c>
      <c r="F839" s="7" t="s">
        <v>265</v>
      </c>
      <c r="G839" s="7" t="e">
        <f t="shared" ca="1" si="34"/>
        <v>#NAME?</v>
      </c>
      <c r="H839" s="24" t="s">
        <v>145</v>
      </c>
      <c r="I839" s="24" t="s">
        <v>146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127</v>
      </c>
      <c r="T839" s="7" t="s">
        <v>2807</v>
      </c>
      <c r="U839" s="7" t="s">
        <v>66</v>
      </c>
      <c r="V839" s="24" t="e">
        <f t="shared" ca="1" si="35"/>
        <v>#NAME?</v>
      </c>
      <c r="W839" s="7"/>
      <c r="X839" s="7"/>
      <c r="Y839" s="29" t="s">
        <v>129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2808</v>
      </c>
      <c r="C840" s="4" t="s">
        <v>2809</v>
      </c>
      <c r="D840" s="7" t="s">
        <v>46</v>
      </c>
      <c r="E840" s="7" t="s">
        <v>20</v>
      </c>
      <c r="F840" s="7" t="s">
        <v>2810</v>
      </c>
      <c r="G840" s="7" t="e">
        <f t="shared" ca="1" si="34"/>
        <v>#NAME?</v>
      </c>
      <c r="H840" s="24" t="s">
        <v>125</v>
      </c>
      <c r="I840" s="24" t="s">
        <v>25</v>
      </c>
      <c r="J840" s="7" t="s">
        <v>1135</v>
      </c>
      <c r="K840" s="25">
        <v>45365</v>
      </c>
      <c r="L840" s="25">
        <v>45464</v>
      </c>
      <c r="M840" s="7" t="s">
        <v>1136</v>
      </c>
      <c r="N840" s="26">
        <v>0.01</v>
      </c>
      <c r="O840" s="7" t="s">
        <v>25</v>
      </c>
      <c r="P840" s="27">
        <v>0</v>
      </c>
      <c r="Q840" s="28"/>
      <c r="R840" s="28" t="s">
        <v>2811</v>
      </c>
      <c r="S840" s="7" t="s">
        <v>127</v>
      </c>
      <c r="T840" s="7" t="s">
        <v>2812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2813</v>
      </c>
      <c r="C841" s="4" t="s">
        <v>2814</v>
      </c>
      <c r="D841" s="7" t="s">
        <v>19</v>
      </c>
      <c r="E841" s="7" t="s">
        <v>66</v>
      </c>
      <c r="F841" s="7" t="s">
        <v>144</v>
      </c>
      <c r="G841" s="7" t="e">
        <f t="shared" ca="1" si="34"/>
        <v>#NAME?</v>
      </c>
      <c r="H841" s="24" t="s">
        <v>145</v>
      </c>
      <c r="I841" s="24" t="s">
        <v>229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936</v>
      </c>
      <c r="S841" s="7" t="s">
        <v>127</v>
      </c>
      <c r="T841" s="7" t="s">
        <v>2815</v>
      </c>
      <c r="U841" s="7" t="s">
        <v>66</v>
      </c>
      <c r="V841" s="24" t="e">
        <f t="shared" ca="1" si="35"/>
        <v>#NAME?</v>
      </c>
      <c r="W841" s="7"/>
      <c r="X841" s="7"/>
      <c r="Y841" s="29" t="s">
        <v>240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2816</v>
      </c>
      <c r="C842" s="4" t="s">
        <v>2817</v>
      </c>
      <c r="D842" s="7" t="s">
        <v>19</v>
      </c>
      <c r="E842" s="7" t="s">
        <v>20</v>
      </c>
      <c r="F842" s="7" t="s">
        <v>720</v>
      </c>
      <c r="G842" s="7" t="e">
        <f t="shared" ca="1" si="34"/>
        <v>#NAME?</v>
      </c>
      <c r="H842" s="24" t="s">
        <v>134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127</v>
      </c>
      <c r="T842" s="7" t="s">
        <v>2818</v>
      </c>
      <c r="U842" s="7" t="s">
        <v>20</v>
      </c>
      <c r="V842" s="24" t="e">
        <f t="shared" ca="1" si="35"/>
        <v>#NAME?</v>
      </c>
      <c r="W842" s="7"/>
      <c r="X842" s="7" t="s">
        <v>137</v>
      </c>
      <c r="Y842" s="29" t="s">
        <v>240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2819</v>
      </c>
      <c r="C843" s="4" t="s">
        <v>2820</v>
      </c>
      <c r="D843" s="7" t="s">
        <v>19</v>
      </c>
      <c r="E843" s="7" t="s">
        <v>66</v>
      </c>
      <c r="F843" s="7" t="s">
        <v>144</v>
      </c>
      <c r="G843" s="7" t="e">
        <f t="shared" ca="1" si="34"/>
        <v>#NAME?</v>
      </c>
      <c r="H843" s="24" t="s">
        <v>134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127</v>
      </c>
      <c r="T843" s="7" t="s">
        <v>2821</v>
      </c>
      <c r="U843" s="7" t="s">
        <v>66</v>
      </c>
      <c r="V843" s="24" t="e">
        <f t="shared" ca="1" si="35"/>
        <v>#NAME?</v>
      </c>
      <c r="W843" s="7"/>
      <c r="X843" s="7"/>
      <c r="Y843" s="29" t="s">
        <v>129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2822</v>
      </c>
      <c r="C844" s="39" t="s">
        <v>2823</v>
      </c>
      <c r="D844" s="7" t="s">
        <v>19</v>
      </c>
      <c r="E844" s="7" t="s">
        <v>66</v>
      </c>
      <c r="F844" s="7" t="s">
        <v>265</v>
      </c>
      <c r="G844" s="7" t="e">
        <f t="shared" ca="1" si="34"/>
        <v>#NAME?</v>
      </c>
      <c r="H844" s="24" t="s">
        <v>134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454</v>
      </c>
      <c r="N844" s="56">
        <v>7.0000000000000001E-3</v>
      </c>
      <c r="O844" s="57" t="s">
        <v>25</v>
      </c>
      <c r="P844" s="58">
        <v>0</v>
      </c>
      <c r="Q844" s="28" t="s">
        <v>2824</v>
      </c>
      <c r="R844" s="28"/>
      <c r="S844" s="7" t="s">
        <v>171</v>
      </c>
      <c r="T844" s="12" t="s">
        <v>2825</v>
      </c>
      <c r="U844" s="7" t="s">
        <v>66</v>
      </c>
      <c r="V844" s="24" t="e">
        <f t="shared" ca="1" si="35"/>
        <v>#NAME?</v>
      </c>
      <c r="W844" s="7"/>
      <c r="X844" s="7" t="s">
        <v>137</v>
      </c>
      <c r="Y844" s="29" t="s">
        <v>129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2826</v>
      </c>
      <c r="C845" s="4" t="s">
        <v>2827</v>
      </c>
      <c r="D845" s="7" t="s">
        <v>19</v>
      </c>
      <c r="E845" s="7" t="s">
        <v>41</v>
      </c>
      <c r="F845" s="7" t="s">
        <v>651</v>
      </c>
      <c r="G845" s="7" t="e">
        <f t="shared" ca="1" si="34"/>
        <v>#NAME?</v>
      </c>
      <c r="H845" s="24" t="s">
        <v>134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242</v>
      </c>
      <c r="N845" s="26">
        <v>2.5000000000000001E-2</v>
      </c>
      <c r="O845" s="7" t="s">
        <v>167</v>
      </c>
      <c r="P845" s="27">
        <v>0.2</v>
      </c>
      <c r="Q845" s="28"/>
      <c r="R845" s="28" t="s">
        <v>2828</v>
      </c>
      <c r="S845" s="7" t="s">
        <v>127</v>
      </c>
      <c r="T845" s="7" t="s">
        <v>2829</v>
      </c>
      <c r="U845" s="7" t="s">
        <v>41</v>
      </c>
      <c r="V845" s="24" t="e">
        <f t="shared" ca="1" si="35"/>
        <v>#NAME?</v>
      </c>
      <c r="W845" s="7"/>
      <c r="X845" s="7"/>
      <c r="Y845" s="29" t="s">
        <v>129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2826</v>
      </c>
      <c r="C846" s="4" t="s">
        <v>2830</v>
      </c>
      <c r="D846" s="7" t="s">
        <v>19</v>
      </c>
      <c r="E846" s="7" t="s">
        <v>41</v>
      </c>
      <c r="F846" s="7" t="s">
        <v>651</v>
      </c>
      <c r="G846" s="7" t="e">
        <f t="shared" ca="1" si="34"/>
        <v>#NAME?</v>
      </c>
      <c r="H846" s="24" t="s">
        <v>134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2831</v>
      </c>
      <c r="S846" s="7" t="s">
        <v>127</v>
      </c>
      <c r="T846" s="7" t="s">
        <v>2832</v>
      </c>
      <c r="U846" s="7" t="s">
        <v>41</v>
      </c>
      <c r="V846" s="24" t="e">
        <f t="shared" ca="1" si="35"/>
        <v>#NAME?</v>
      </c>
      <c r="W846" s="7"/>
      <c r="X846" s="7"/>
      <c r="Y846" s="29" t="s">
        <v>129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2833</v>
      </c>
      <c r="C847" s="4" t="s">
        <v>2834</v>
      </c>
      <c r="D847" s="7" t="s">
        <v>71</v>
      </c>
      <c r="E847" s="7" t="s">
        <v>66</v>
      </c>
      <c r="F847" s="7" t="s">
        <v>72</v>
      </c>
      <c r="G847" s="7" t="e">
        <f t="shared" ca="1" si="34"/>
        <v>#NAME?</v>
      </c>
      <c r="H847" s="24" t="s">
        <v>145</v>
      </c>
      <c r="I847" s="24" t="s">
        <v>146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127</v>
      </c>
      <c r="T847" s="7" t="s">
        <v>2835</v>
      </c>
      <c r="U847" s="7" t="s">
        <v>66</v>
      </c>
      <c r="V847" s="24" t="e">
        <f t="shared" ca="1" si="35"/>
        <v>#NAME?</v>
      </c>
      <c r="W847" s="7"/>
      <c r="X847" s="7"/>
      <c r="Y847" s="29" t="s">
        <v>129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2836</v>
      </c>
      <c r="C848" s="4" t="s">
        <v>2837</v>
      </c>
      <c r="D848" s="7" t="s">
        <v>19</v>
      </c>
      <c r="E848" s="7" t="s">
        <v>35</v>
      </c>
      <c r="F848" s="7" t="s">
        <v>199</v>
      </c>
      <c r="G848" s="7" t="e">
        <f t="shared" ca="1" si="34"/>
        <v>#NAME?</v>
      </c>
      <c r="H848" s="24" t="s">
        <v>145</v>
      </c>
      <c r="I848" s="24" t="s">
        <v>146</v>
      </c>
      <c r="J848" s="7" t="str">
        <f t="shared" si="38"/>
        <v>Sim</v>
      </c>
      <c r="K848" s="25">
        <v>45008</v>
      </c>
      <c r="L848" s="7"/>
      <c r="M848" s="7" t="s">
        <v>245</v>
      </c>
      <c r="N848" s="26">
        <v>8.0000000000000002E-3</v>
      </c>
      <c r="O848" s="7" t="s">
        <v>246</v>
      </c>
      <c r="P848" s="27">
        <v>0.1</v>
      </c>
      <c r="Q848" s="28" t="s">
        <v>2838</v>
      </c>
      <c r="R848" s="28"/>
      <c r="S848" s="7" t="s">
        <v>127</v>
      </c>
      <c r="T848" s="7" t="s">
        <v>2839</v>
      </c>
      <c r="U848" s="7" t="s">
        <v>202</v>
      </c>
      <c r="V848" s="24" t="e">
        <f t="shared" ca="1" si="35"/>
        <v>#NAME?</v>
      </c>
      <c r="W848" s="7"/>
      <c r="X848" s="7"/>
      <c r="Y848" s="29" t="s">
        <v>129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2836</v>
      </c>
      <c r="C849" s="4" t="s">
        <v>2840</v>
      </c>
      <c r="D849" s="7" t="s">
        <v>19</v>
      </c>
      <c r="E849" s="7" t="s">
        <v>35</v>
      </c>
      <c r="F849" s="7" t="s">
        <v>199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242</v>
      </c>
      <c r="N849" s="26">
        <v>2.5000000000000001E-2</v>
      </c>
      <c r="O849" s="7" t="s">
        <v>167</v>
      </c>
      <c r="P849" s="27">
        <v>0.2</v>
      </c>
      <c r="Q849" s="28"/>
      <c r="R849" s="28"/>
      <c r="S849" s="7" t="s">
        <v>127</v>
      </c>
      <c r="T849" s="7" t="s">
        <v>2839</v>
      </c>
      <c r="U849" s="7" t="s">
        <v>202</v>
      </c>
      <c r="V849" s="24" t="e">
        <f t="shared" ca="1" si="35"/>
        <v>#NAME?</v>
      </c>
      <c r="W849" s="7"/>
      <c r="X849" s="7"/>
      <c r="Y849" s="29" t="s">
        <v>129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2836</v>
      </c>
      <c r="C850" s="4" t="s">
        <v>2841</v>
      </c>
      <c r="D850" s="7" t="s">
        <v>19</v>
      </c>
      <c r="E850" s="7" t="s">
        <v>35</v>
      </c>
      <c r="F850" s="7" t="s">
        <v>199</v>
      </c>
      <c r="G850" s="7" t="e">
        <f t="shared" ca="1" si="34"/>
        <v>#NAME?</v>
      </c>
      <c r="H850" s="24" t="s">
        <v>134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127</v>
      </c>
      <c r="T850" s="7" t="s">
        <v>2839</v>
      </c>
      <c r="U850" s="7" t="s">
        <v>202</v>
      </c>
      <c r="V850" s="24" t="e">
        <f t="shared" ca="1" si="35"/>
        <v>#NAME?</v>
      </c>
      <c r="W850" s="7"/>
      <c r="X850" s="7"/>
      <c r="Y850" s="29" t="s">
        <v>129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2842</v>
      </c>
      <c r="C851" s="4" t="s">
        <v>2843</v>
      </c>
      <c r="D851" s="7" t="s">
        <v>19</v>
      </c>
      <c r="E851" s="7" t="s">
        <v>66</v>
      </c>
      <c r="F851" s="7" t="s">
        <v>144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2844</v>
      </c>
      <c r="S851" s="7" t="s">
        <v>127</v>
      </c>
      <c r="T851" s="7" t="s">
        <v>2845</v>
      </c>
      <c r="U851" s="7" t="s">
        <v>66</v>
      </c>
      <c r="V851" s="24" t="e">
        <f t="shared" ca="1" si="35"/>
        <v>#NAME?</v>
      </c>
      <c r="W851" s="7"/>
      <c r="X851" s="7"/>
      <c r="Y851" s="29" t="s">
        <v>240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2846</v>
      </c>
      <c r="C852" s="4" t="s">
        <v>2847</v>
      </c>
      <c r="D852" s="7" t="s">
        <v>19</v>
      </c>
      <c r="E852" s="7" t="s">
        <v>66</v>
      </c>
      <c r="F852" s="7" t="s">
        <v>316</v>
      </c>
      <c r="G852" s="7" t="e">
        <f t="shared" ca="1" si="34"/>
        <v>#NAME?</v>
      </c>
      <c r="H852" s="24" t="s">
        <v>145</v>
      </c>
      <c r="I852" s="24" t="s">
        <v>208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127</v>
      </c>
      <c r="T852" s="7" t="s">
        <v>2848</v>
      </c>
      <c r="U852" s="7" t="s">
        <v>66</v>
      </c>
      <c r="V852" s="24" t="e">
        <f t="shared" ca="1" si="35"/>
        <v>#NAME?</v>
      </c>
      <c r="W852" s="7"/>
      <c r="X852" s="7"/>
      <c r="Y852" s="29" t="s">
        <v>129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2849</v>
      </c>
      <c r="C853" s="4" t="s">
        <v>2850</v>
      </c>
      <c r="D853" s="7" t="s">
        <v>46</v>
      </c>
      <c r="E853" s="7" t="s">
        <v>20</v>
      </c>
      <c r="F853" s="7" t="s">
        <v>124</v>
      </c>
      <c r="G853" s="7" t="e">
        <f t="shared" ca="1" si="34"/>
        <v>#NAME?</v>
      </c>
      <c r="H853" s="24" t="s">
        <v>125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185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127</v>
      </c>
      <c r="T853" s="7" t="s">
        <v>2851</v>
      </c>
      <c r="U853" s="7" t="s">
        <v>20</v>
      </c>
      <c r="V853" s="24" t="e">
        <f t="shared" ca="1" si="35"/>
        <v>#NAME?</v>
      </c>
      <c r="W853" s="7"/>
      <c r="X853" s="7"/>
      <c r="Y853" s="29" t="s">
        <v>240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2852</v>
      </c>
      <c r="C854" s="41" t="s">
        <v>2853</v>
      </c>
      <c r="D854" s="7" t="s">
        <v>19</v>
      </c>
      <c r="E854" s="7" t="s">
        <v>20</v>
      </c>
      <c r="F854" s="7" t="s">
        <v>184</v>
      </c>
      <c r="G854" s="7" t="e">
        <f t="shared" ca="1" si="34"/>
        <v>#NAME?</v>
      </c>
      <c r="H854" s="24" t="s">
        <v>134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127</v>
      </c>
      <c r="T854" s="7" t="s">
        <v>2854</v>
      </c>
      <c r="U854" s="7" t="s">
        <v>20</v>
      </c>
      <c r="V854" s="24" t="e">
        <f t="shared" ca="1" si="35"/>
        <v>#NAME?</v>
      </c>
      <c r="W854" s="7"/>
      <c r="X854" s="7"/>
      <c r="Y854" s="29" t="s">
        <v>129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2855</v>
      </c>
      <c r="C855" s="4" t="s">
        <v>2856</v>
      </c>
      <c r="D855" s="7" t="s">
        <v>19</v>
      </c>
      <c r="E855" s="7" t="s">
        <v>20</v>
      </c>
      <c r="F855" s="7" t="s">
        <v>195</v>
      </c>
      <c r="G855" s="7" t="e">
        <f t="shared" ca="1" si="34"/>
        <v>#NAME?</v>
      </c>
      <c r="H855" s="24" t="s">
        <v>125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297</v>
      </c>
      <c r="S855" s="7" t="s">
        <v>127</v>
      </c>
      <c r="T855" s="7" t="s">
        <v>2857</v>
      </c>
      <c r="U855" s="7" t="s">
        <v>48</v>
      </c>
      <c r="V855" s="24" t="e">
        <f t="shared" ca="1" si="35"/>
        <v>#NAME?</v>
      </c>
      <c r="W855" s="7"/>
      <c r="X855" s="7"/>
      <c r="Y855" s="29" t="s">
        <v>129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2858</v>
      </c>
      <c r="C856" s="35" t="s">
        <v>2859</v>
      </c>
      <c r="D856" s="7" t="s">
        <v>46</v>
      </c>
      <c r="E856" s="7" t="s">
        <v>20</v>
      </c>
      <c r="F856" s="7" t="s">
        <v>124</v>
      </c>
      <c r="G856" s="7" t="e">
        <f t="shared" ca="1" si="34"/>
        <v>#NAME?</v>
      </c>
      <c r="H856" s="24" t="s">
        <v>125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297</v>
      </c>
      <c r="S856" s="7" t="s">
        <v>127</v>
      </c>
      <c r="T856" s="6" t="s">
        <v>2860</v>
      </c>
      <c r="U856" s="7" t="s">
        <v>41</v>
      </c>
      <c r="V856" s="24" t="e">
        <f t="shared" ca="1" si="35"/>
        <v>#NAME?</v>
      </c>
      <c r="W856" s="7"/>
      <c r="X856" s="7"/>
      <c r="Y856" s="29" t="s">
        <v>129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2858</v>
      </c>
      <c r="C857" s="35" t="s">
        <v>2861</v>
      </c>
      <c r="D857" s="7" t="s">
        <v>46</v>
      </c>
      <c r="E857" s="7" t="s">
        <v>20</v>
      </c>
      <c r="F857" s="7" t="s">
        <v>124</v>
      </c>
      <c r="G857" s="7" t="e">
        <f t="shared" ca="1" si="34"/>
        <v>#NAME?</v>
      </c>
      <c r="H857" s="24" t="s">
        <v>125</v>
      </c>
      <c r="I857" s="24" t="s">
        <v>25</v>
      </c>
      <c r="J857" s="7" t="s">
        <v>165</v>
      </c>
      <c r="K857" s="25">
        <v>45308</v>
      </c>
      <c r="L857" s="25">
        <v>45539</v>
      </c>
      <c r="M857" s="7" t="s">
        <v>272</v>
      </c>
      <c r="N857" s="26">
        <v>6.0000000000000001E-3</v>
      </c>
      <c r="O857" s="7" t="s">
        <v>25</v>
      </c>
      <c r="P857" s="27">
        <v>0</v>
      </c>
      <c r="Q857" s="28"/>
      <c r="R857" s="28" t="s">
        <v>2862</v>
      </c>
      <c r="S857" s="7" t="s">
        <v>127</v>
      </c>
      <c r="T857" s="6" t="s">
        <v>2860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2863</v>
      </c>
      <c r="C858" s="4" t="s">
        <v>2864</v>
      </c>
      <c r="D858" s="7" t="s">
        <v>19</v>
      </c>
      <c r="E858" s="7" t="s">
        <v>66</v>
      </c>
      <c r="F858" s="7" t="s">
        <v>144</v>
      </c>
      <c r="G858" s="7" t="e">
        <f t="shared" ca="1" si="34"/>
        <v>#NAME?</v>
      </c>
      <c r="H858" s="24" t="s">
        <v>145</v>
      </c>
      <c r="I858" s="24" t="s">
        <v>146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127</v>
      </c>
      <c r="T858" s="7" t="s">
        <v>2865</v>
      </c>
      <c r="U858" s="7" t="s">
        <v>66</v>
      </c>
      <c r="V858" s="24" t="e">
        <f t="shared" ca="1" si="35"/>
        <v>#NAME?</v>
      </c>
      <c r="W858" s="7"/>
      <c r="X858" s="7"/>
      <c r="Y858" s="29" t="s">
        <v>129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2866</v>
      </c>
      <c r="C859" s="188" t="s">
        <v>2867</v>
      </c>
      <c r="D859" s="189" t="s">
        <v>19</v>
      </c>
      <c r="E859" s="189" t="s">
        <v>20</v>
      </c>
      <c r="F859" s="189" t="s">
        <v>184</v>
      </c>
      <c r="G859" s="7" t="e">
        <f t="shared" ca="1" si="34"/>
        <v>#NAME?</v>
      </c>
      <c r="H859" s="190" t="s">
        <v>145</v>
      </c>
      <c r="I859" s="190" t="s">
        <v>146</v>
      </c>
      <c r="J859" s="7" t="str">
        <f t="shared" si="39"/>
        <v>Não</v>
      </c>
      <c r="K859" s="191">
        <v>44894</v>
      </c>
      <c r="L859" s="189"/>
      <c r="M859" s="189" t="s">
        <v>454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171</v>
      </c>
      <c r="T859" s="189" t="s">
        <v>2868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2869</v>
      </c>
      <c r="C860" s="39" t="s">
        <v>2870</v>
      </c>
      <c r="D860" s="189" t="s">
        <v>71</v>
      </c>
      <c r="E860" s="189" t="s">
        <v>66</v>
      </c>
      <c r="F860" s="7" t="s">
        <v>72</v>
      </c>
      <c r="G860" s="7" t="e">
        <f t="shared" ca="1" si="34"/>
        <v>#NAME?</v>
      </c>
      <c r="H860" s="190" t="s">
        <v>134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127</v>
      </c>
      <c r="T860" s="6" t="s">
        <v>2871</v>
      </c>
      <c r="U860" s="189" t="s">
        <v>66</v>
      </c>
      <c r="V860" s="24" t="e">
        <f t="shared" ca="1" si="35"/>
        <v>#NAME?</v>
      </c>
      <c r="W860" s="189"/>
      <c r="X860" s="189"/>
      <c r="Y860" s="195" t="s">
        <v>129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2872</v>
      </c>
      <c r="C861" s="199" t="s">
        <v>2873</v>
      </c>
      <c r="D861" s="7" t="s">
        <v>19</v>
      </c>
      <c r="E861" s="7" t="s">
        <v>35</v>
      </c>
      <c r="F861" s="7" t="s">
        <v>250</v>
      </c>
      <c r="G861" s="7" t="e">
        <f t="shared" ca="1" si="34"/>
        <v>#NAME?</v>
      </c>
      <c r="H861" s="24" t="s">
        <v>145</v>
      </c>
      <c r="I861" s="24" t="s">
        <v>229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2874</v>
      </c>
      <c r="S861" s="7" t="s">
        <v>127</v>
      </c>
      <c r="T861" s="7" t="s">
        <v>2875</v>
      </c>
      <c r="U861" s="7" t="s">
        <v>202</v>
      </c>
      <c r="V861" s="24" t="e">
        <f t="shared" ca="1" si="35"/>
        <v>#NAME?</v>
      </c>
      <c r="W861" s="7"/>
      <c r="X861" s="7"/>
      <c r="Y861" s="29" t="s">
        <v>129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2876</v>
      </c>
      <c r="C862" s="39" t="s">
        <v>2877</v>
      </c>
      <c r="D862" s="7" t="s">
        <v>55</v>
      </c>
      <c r="E862" s="7" t="s">
        <v>20</v>
      </c>
      <c r="F862" s="7" t="s">
        <v>374</v>
      </c>
      <c r="G862" s="7" t="e">
        <f t="shared" ca="1" si="34"/>
        <v>#NAME?</v>
      </c>
      <c r="H862" s="24" t="s">
        <v>134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2878</v>
      </c>
      <c r="R862" s="28"/>
      <c r="S862" s="7" t="s">
        <v>127</v>
      </c>
      <c r="T862" s="6" t="s">
        <v>2879</v>
      </c>
      <c r="U862" s="7" t="s">
        <v>20</v>
      </c>
      <c r="V862" s="24" t="e">
        <f t="shared" ca="1" si="35"/>
        <v>#NAME?</v>
      </c>
      <c r="W862" s="7"/>
      <c r="X862" s="7" t="s">
        <v>152</v>
      </c>
      <c r="Y862" s="29" t="s">
        <v>129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2880</v>
      </c>
      <c r="C863" s="39" t="s">
        <v>2881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134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127</v>
      </c>
      <c r="T863" s="12" t="s">
        <v>2882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129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2883</v>
      </c>
      <c r="C864" s="39" t="s">
        <v>2884</v>
      </c>
      <c r="D864" s="7" t="s">
        <v>19</v>
      </c>
      <c r="E864" s="7" t="s">
        <v>20</v>
      </c>
      <c r="F864" s="7" t="s">
        <v>720</v>
      </c>
      <c r="G864" s="7" t="e">
        <f t="shared" ca="1" si="34"/>
        <v>#NAME?</v>
      </c>
      <c r="H864" s="24" t="s">
        <v>145</v>
      </c>
      <c r="I864" s="24" t="s">
        <v>229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127</v>
      </c>
      <c r="T864" s="6" t="s">
        <v>2885</v>
      </c>
      <c r="U864" s="7" t="s">
        <v>1676</v>
      </c>
      <c r="V864" s="24" t="e">
        <f t="shared" ca="1" si="35"/>
        <v>#NAME?</v>
      </c>
      <c r="W864" s="7"/>
      <c r="X864" s="7" t="s">
        <v>42</v>
      </c>
      <c r="Y864" s="29" t="s">
        <v>129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2886</v>
      </c>
      <c r="C867" s="211">
        <f>COUNTIF(H:H,"Ativo")</f>
        <v>459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2887</v>
      </c>
      <c r="C868" s="216">
        <f>COUNTIF(H:H,"Inativo")</f>
        <v>253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2888</v>
      </c>
      <c r="C869" s="216">
        <f>COUNTIF(H:H,"Encerrado")</f>
        <v>136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2889</v>
      </c>
      <c r="C870" s="222">
        <f>COUNTIF(H:H,"Pode Operar")</f>
        <v>14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FD98970F-27D3-4F42-B1DD-E0228B704C10}" filter="1" showAutoFilter="1">
      <pageMargins left="0.511811024" right="0.511811024" top="0.78740157499999996" bottom="0.78740157499999996" header="0.31496062000000002" footer="0.31496062000000002"/>
      <autoFilter ref="K2:K871" xr:uid="{5678681A-C967-4DEF-95B4-1D6562F615A2}"/>
    </customSheetView>
    <customSheetView guid="{EC1DCC0D-E129-4C74-BE3D-43D480D0867F}" filter="1" showAutoFilter="1">
      <pageMargins left="0.511811024" right="0.511811024" top="0.78740157499999996" bottom="0.78740157499999996" header="0.31496062000000002" footer="0.31496062000000002"/>
      <autoFilter ref="B2:AL871" xr:uid="{E47A6983-5500-4B07-AEF8-8D4BECDFA1D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7B53FB4-042F-4065-A12E-1D5A3E1AD3D4}" filter="1" showAutoFilter="1">
      <pageMargins left="0.511811024" right="0.511811024" top="0.78740157499999996" bottom="0.78740157499999996" header="0.31496062000000002" footer="0.31496062000000002"/>
      <autoFilter ref="A2:AR862" xr:uid="{0D7BB04E-E942-4CC6-8D9A-80AB0E11AC36}"/>
    </customSheetView>
    <customSheetView guid="{607A6C2D-8F47-4801-91A8-3282BD234C64}" filter="1" showAutoFilter="1">
      <pageMargins left="0.511811024" right="0.511811024" top="0.78740157499999996" bottom="0.78740157499999996" header="0.31496062000000002" footer="0.31496062000000002"/>
      <autoFilter ref="A2:AT862" xr:uid="{B0F4504E-C3D7-44B8-AF7D-00D47162B9C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778EE0-DFB6-427B-B287-224EBC064AD9}" filter="1" showAutoFilter="1">
      <pageMargins left="0.511811024" right="0.511811024" top="0.78740157499999996" bottom="0.78740157499999996" header="0.31496062000000002" footer="0.31496062000000002"/>
      <autoFilter ref="A1:AN866" xr:uid="{65FCBEE9-95C5-4037-8F02-EC3FF0D6343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7A47A2F-F615-4BFB-8F2D-C0D17609542E}" filter="1" showAutoFilter="1">
      <pageMargins left="0.511811024" right="0.511811024" top="0.78740157499999996" bottom="0.78740157499999996" header="0.31496062000000002" footer="0.31496062000000002"/>
      <autoFilter ref="A1:AQ862" xr:uid="{8BB1EB81-933D-47DD-A496-D557EB6AB97A}"/>
    </customSheetView>
    <customSheetView guid="{040CB123-C93E-4921-B22E-729A6CA2515A}" filter="1" showAutoFilter="1">
      <pageMargins left="0.511811024" right="0.511811024" top="0.78740157499999996" bottom="0.78740157499999996" header="0.31496062000000002" footer="0.31496062000000002"/>
      <autoFilter ref="AK2:AK871" xr:uid="{5F664099-0180-41DF-A251-C900B5C7251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77BE576-1A61-4B92-81BE-0D74B3709F1F}" filter="1" showAutoFilter="1">
      <pageMargins left="0.511811024" right="0.511811024" top="0.78740157499999996" bottom="0.78740157499999996" header="0.31496062000000002" footer="0.31496062000000002"/>
      <autoFilter ref="D2:F871" xr:uid="{78FA0E66-E5E3-400A-92F9-8677C93FAD54}"/>
    </customSheetView>
    <customSheetView guid="{4A38E3F3-D81A-41F1-90F5-02ABD8C231BC}" filter="1" showAutoFilter="1">
      <pageMargins left="0.511811024" right="0.511811024" top="0.78740157499999996" bottom="0.78740157499999996" header="0.31496062000000002" footer="0.31496062000000002"/>
      <autoFilter ref="B2:AK866" xr:uid="{1ADB893E-F5E8-449F-ABD1-3C45A5E5BBF5}"/>
    </customSheetView>
    <customSheetView guid="{C68EE085-9031-498B-94A3-71BF154A2C4F}" filter="1" showAutoFilter="1">
      <pageMargins left="0.511811024" right="0.511811024" top="0.78740157499999996" bottom="0.78740157499999996" header="0.31496062000000002" footer="0.31496062000000002"/>
      <autoFilter ref="A1:AN866" xr:uid="{1AD105D0-1012-4D78-9648-032FC46AAA9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019676-D78B-4E59-834F-320C141A2AB9}" filter="1" showAutoFilter="1">
      <pageMargins left="0.511811024" right="0.511811024" top="0.78740157499999996" bottom="0.78740157499999996" header="0.31496062000000002" footer="0.31496062000000002"/>
      <autoFilter ref="A1:AT862" xr:uid="{51D368AD-1BEF-4404-AA44-EDE8C12B8CB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D21AE6D-432F-4D86-9567-D984D5C38E3E}" filter="1" showAutoFilter="1">
      <pageMargins left="0.511811024" right="0.511811024" top="0.78740157499999996" bottom="0.78740157499999996" header="0.31496062000000002" footer="0.31496062000000002"/>
      <autoFilter ref="B2:AK871" xr:uid="{2EA152C7-0C2E-44A5-B918-C1BA6EB044C0}"/>
    </customSheetView>
    <customSheetView guid="{28003C19-2592-44F6-BF45-63AC343ABDD2}" filter="1" showAutoFilter="1">
      <pageMargins left="0.511811024" right="0.511811024" top="0.78740157499999996" bottom="0.78740157499999996" header="0.31496062000000002" footer="0.31496062000000002"/>
      <autoFilter ref="B2:AI866" xr:uid="{B1184EE8-CE53-40A2-94F5-A61F41D789F8}"/>
    </customSheetView>
    <customSheetView guid="{246A3A7B-7F9B-4FB7-925E-3EF6CCB76B1A}" filter="1" showAutoFilter="1">
      <pageMargins left="0.511811024" right="0.511811024" top="0.78740157499999996" bottom="0.78740157499999996" header="0.31496062000000002" footer="0.31496062000000002"/>
      <autoFilter ref="B2:AL866" xr:uid="{9929A4C8-AAC3-43CB-B978-94131F6ECCC9}"/>
    </customSheetView>
    <customSheetView guid="{815845EE-26CC-410C-A0D4-417634C0BE2D}" filter="1" showAutoFilter="1">
      <pageMargins left="0.511811024" right="0.511811024" top="0.78740157499999996" bottom="0.78740157499999996" header="0.31496062000000002" footer="0.31496062000000002"/>
      <autoFilter ref="J1:P861" xr:uid="{E3AA419D-191E-4CE7-A148-6C71C9FDDFAE}"/>
    </customSheetView>
    <customSheetView guid="{31B4B408-8519-4267-A60B-88A51E9F259A}" filter="1" showAutoFilter="1">
      <pageMargins left="0.511811024" right="0.511811024" top="0.78740157499999996" bottom="0.78740157499999996" header="0.31496062000000002" footer="0.31496062000000002"/>
      <autoFilter ref="B2:AK866" xr:uid="{3D9541D0-BD32-4E65-978D-E76231FF5B26}"/>
    </customSheetView>
    <customSheetView guid="{95B2B449-1894-49FC-897D-708E9DB34845}" filter="1" showAutoFilter="1">
      <pageMargins left="0.511811024" right="0.511811024" top="0.78740157499999996" bottom="0.78740157499999996" header="0.31496062000000002" footer="0.31496062000000002"/>
      <autoFilter ref="B2:AL866" xr:uid="{87598718-A706-4023-9DC8-1D5B94BDF10A}"/>
    </customSheetView>
    <customSheetView guid="{9C786FFE-D0FA-45F6-BF68-A2EFA3B5E95F}" filter="1" showAutoFilter="1">
      <pageMargins left="0.511811024" right="0.511811024" top="0.78740157499999996" bottom="0.78740157499999996" header="0.31496062000000002" footer="0.31496062000000002"/>
      <autoFilter ref="A1:AQ862" xr:uid="{5CECA0CD-D4B0-43C3-B660-2E499418A30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C9124D0-7FCF-497F-9368-4953D3BA07DF}" filter="1" showAutoFilter="1">
      <pageMargins left="0.511811024" right="0.511811024" top="0.78740157499999996" bottom="0.78740157499999996" header="0.31496062000000002" footer="0.31496062000000002"/>
      <autoFilter ref="A1:AS862" xr:uid="{29220214-420B-4A57-84A4-6558929E6407}"/>
    </customSheetView>
    <customSheetView guid="{AB1EE67C-4579-4381-A53D-E35EA099863C}" filter="1" showAutoFilter="1">
      <pageMargins left="0.511811024" right="0.511811024" top="0.78740157499999996" bottom="0.78740157499999996" header="0.31496062000000002" footer="0.31496062000000002"/>
      <autoFilter ref="A2:AT862" xr:uid="{7C480CA5-1622-4A4A-A0C4-18ADE1CB8AF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05655AF-967C-4FE8-98BD-BA56DA4EFD94}" filter="1" showAutoFilter="1">
      <pageMargins left="0.511811024" right="0.511811024" top="0.78740157499999996" bottom="0.78740157499999996" header="0.31496062000000002" footer="0.31496062000000002"/>
      <autoFilter ref="A2:AS862" xr:uid="{FB64A72D-98AC-4061-B338-3B26E328915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D6E5146-1B1B-45BD-81CC-02322B99761B}" filter="1" showAutoFilter="1">
      <pageMargins left="0.511811024" right="0.511811024" top="0.78740157499999996" bottom="0.78740157499999996" header="0.31496062000000002" footer="0.31496062000000002"/>
      <autoFilter ref="K2:K871" xr:uid="{0553914F-CD53-461B-A6D9-A9A13F095B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DCB5B80-B81E-4C5B-A282-C633E9DFD846}" filter="1" showAutoFilter="1">
      <pageMargins left="0.511811024" right="0.511811024" top="0.78740157499999996" bottom="0.78740157499999996" header="0.31496062000000002" footer="0.31496062000000002"/>
      <autoFilter ref="A1:AS862" xr:uid="{7628A5FD-3093-4300-AB2D-9897A953E17A}">
        <filterColumn colId="21">
          <filters>
            <filter val="Inativo"/>
          </filters>
        </filterColumn>
      </autoFilter>
    </customSheetView>
    <customSheetView guid="{283E914E-7EE7-4CCA-8962-BAB60323102B}" filter="1" showAutoFilter="1">
      <pageMargins left="0.511811024" right="0.511811024" top="0.78740157499999996" bottom="0.78740157499999996" header="0.31496062000000002" footer="0.31496062000000002"/>
      <autoFilter ref="F2:F871" xr:uid="{CB51B701-9350-45D5-BBFC-58A05FFA49DE}"/>
    </customSheetView>
    <customSheetView guid="{6107B431-5DDD-4001-A262-3DA1E5D1397B}" filter="1" showAutoFilter="1">
      <pageMargins left="0.511811024" right="0.511811024" top="0.78740157499999996" bottom="0.78740157499999996" header="0.31496062000000002" footer="0.31496062000000002"/>
      <autoFilter ref="A1:AQ871" xr:uid="{B4EF2465-DCF9-4065-A343-982F25A5AB0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E3CE2F4-E814-485D-9F0B-147C27624BAE}" filter="1" showAutoFilter="1">
      <pageMargins left="0.511811024" right="0.511811024" top="0.78740157499999996" bottom="0.78740157499999996" header="0.31496062000000002" footer="0.31496062000000002"/>
      <autoFilter ref="H1:I864" xr:uid="{5679BA4A-F0D7-4D97-8899-B99CE0087E6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012BCB8-B6FC-493B-BE0F-BC768552ED35}" filter="1" showAutoFilter="1">
      <pageMargins left="0.511811024" right="0.511811024" top="0.78740157499999996" bottom="0.78740157499999996" header="0.31496062000000002" footer="0.31496062000000002"/>
      <autoFilter ref="A1:AQ862" xr:uid="{2ED20434-2A5E-4514-83A4-A0384AF6B01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5C6209F-0C05-451B-8D21-7C16EB91CF2E}" filter="1" showAutoFilter="1">
      <pageMargins left="0.511811024" right="0.511811024" top="0.78740157499999996" bottom="0.78740157499999996" header="0.31496062000000002" footer="0.31496062000000002"/>
      <autoFilter ref="B2:AI866" xr:uid="{E5772BD7-8463-441B-89DB-2D16D07D92C0}"/>
    </customSheetView>
    <customSheetView guid="{08C8AD6C-84D0-4BB5-A738-EFBCD0ECB57B}" filter="1" showAutoFilter="1">
      <pageMargins left="0.511811024" right="0.511811024" top="0.78740157499999996" bottom="0.78740157499999996" header="0.31496062000000002" footer="0.31496062000000002"/>
      <autoFilter ref="B2:AI866" xr:uid="{BA66099F-924D-4B71-902C-3D0FD31A685D}"/>
    </customSheetView>
    <customSheetView guid="{981CBC53-5D76-4762-8CD0-466B1C412EC1}" filter="1" showAutoFilter="1">
      <pageMargins left="0.511811024" right="0.511811024" top="0.78740157499999996" bottom="0.78740157499999996" header="0.31496062000000002" footer="0.31496062000000002"/>
      <autoFilter ref="A1:AR862" xr:uid="{E323BE87-DB79-4347-9FE3-C44951E844E6}">
        <filterColumn colId="21">
          <filters>
            <filter val="Ativo"/>
          </filters>
        </filterColumn>
      </autoFilter>
    </customSheetView>
    <customSheetView guid="{DE4BD88E-A8FA-43E0-BF3F-133D01E45D1B}" filter="1" showAutoFilter="1">
      <pageMargins left="0.511811024" right="0.511811024" top="0.78740157499999996" bottom="0.78740157499999996" header="0.31496062000000002" footer="0.31496062000000002"/>
      <autoFilter ref="A1:AR862" xr:uid="{560406FE-8245-486A-A5D0-E780087F9A4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FC98926-A07B-4DFB-82A7-B8D230977B44}" filter="1" showAutoFilter="1">
      <pageMargins left="0.511811024" right="0.511811024" top="0.78740157499999996" bottom="0.78740157499999996" header="0.31496062000000002" footer="0.31496062000000002"/>
      <autoFilter ref="Q2:Q871" xr:uid="{02BEAD2E-99BF-4E9B-87D3-771E787BB5C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C95CD0BE-DDE7-4A9D-B4C1-035FC2D9EFDC}" filter="1" showAutoFilter="1">
      <pageMargins left="0.511811024" right="0.511811024" top="0.78740157499999996" bottom="0.78740157499999996" header="0.31496062000000002" footer="0.31496062000000002"/>
      <autoFilter ref="B2:AL866" xr:uid="{6C3FC739-A9D9-4F39-B254-F056B98A5CBD}"/>
    </customSheetView>
    <customSheetView guid="{3971B9B5-E64A-4827-A358-4F02E4E81641}" filter="1" showAutoFilter="1">
      <pageMargins left="0.511811024" right="0.511811024" top="0.78740157499999996" bottom="0.78740157499999996" header="0.31496062000000002" footer="0.31496062000000002"/>
      <autoFilter ref="K2:K871" xr:uid="{E8B2813D-5EDC-4B8C-AB51-1F895915059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D1A8B5-3E4E-4EE9-AEEA-94DAACE948D7}" filter="1" showAutoFilter="1">
      <pageMargins left="0.511811024" right="0.511811024" top="0.78740157499999996" bottom="0.78740157499999996" header="0.31496062000000002" footer="0.31496062000000002"/>
      <autoFilter ref="A2:AT862" xr:uid="{A437DA0D-7E26-4AE0-A9EE-EA0AF705FB5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32236C1-7DF7-43B3-8445-FA4483737404}" filter="1" showAutoFilter="1">
      <pageMargins left="0.511811024" right="0.511811024" top="0.78740157499999996" bottom="0.78740157499999996" header="0.31496062000000002" footer="0.31496062000000002"/>
      <autoFilter ref="A2:AR862" xr:uid="{52AED8E5-C4C8-49EE-A8A1-A245C5133883}"/>
    </customSheetView>
    <customSheetView guid="{EF583170-62FD-46FE-8914-087D7B91A230}" filter="1" showAutoFilter="1">
      <pageMargins left="0.511811024" right="0.511811024" top="0.78740157499999996" bottom="0.78740157499999996" header="0.31496062000000002" footer="0.31496062000000002"/>
      <autoFilter ref="A2:AS862" xr:uid="{177BE286-9190-4AD7-8644-1FE64CB0FEBC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9E61F62-C382-47A3-BF03-F175D78DF924}" filter="1" showAutoFilter="1">
      <pageMargins left="0.511811024" right="0.511811024" top="0.78740157499999996" bottom="0.78740157499999996" header="0.31496062000000002" footer="0.31496062000000002"/>
      <autoFilter ref="A1:AS862" xr:uid="{D131678F-5A59-48B2-930E-D7406C2EF45C}">
        <filterColumn colId="21">
          <filters>
            <filter val="Inativo"/>
          </filters>
        </filterColumn>
      </autoFilter>
    </customSheetView>
    <customSheetView guid="{0F121652-EB71-432D-9FEB-BD49F86EBDB7}" filter="1" showAutoFilter="1">
      <pageMargins left="0.511811024" right="0.511811024" top="0.78740157499999996" bottom="0.78740157499999996" header="0.31496062000000002" footer="0.31496062000000002"/>
      <autoFilter ref="A1:AQ862" xr:uid="{8E46CBC9-0411-4A3E-984E-1A0B5AD73EEB}"/>
    </customSheetView>
    <customSheetView guid="{34E5B49D-F813-442A-A2D6-09825055367C}" filter="1" showAutoFilter="1">
      <pageMargins left="0.511811024" right="0.511811024" top="0.78740157499999996" bottom="0.78740157499999996" header="0.31496062000000002" footer="0.31496062000000002"/>
      <autoFilter ref="A1:AR862" xr:uid="{14C8DD81-E825-4730-A39A-E8EF3AEC2848}">
        <filterColumn colId="21">
          <filters>
            <filter val="Inativo"/>
          </filters>
        </filterColumn>
      </autoFilter>
    </customSheetView>
    <customSheetView guid="{CA90D879-E3E3-4788-A894-DD0FEC0844FC}" filter="1" showAutoFilter="1">
      <pageMargins left="0.511811024" right="0.511811024" top="0.78740157499999996" bottom="0.78740157499999996" header="0.31496062000000002" footer="0.31496062000000002"/>
      <autoFilter ref="A2:AS862" xr:uid="{188218A9-DDE9-46F1-87E6-0830757E43A8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F42C4F6-1D6C-4B32-9F79-3A69D826F589}" filter="1" showAutoFilter="1">
      <pageMargins left="0.511811024" right="0.511811024" top="0.78740157499999996" bottom="0.78740157499999996" header="0.31496062000000002" footer="0.31496062000000002"/>
      <autoFilter ref="B2:AL866" xr:uid="{4889D759-3D65-4F27-AB24-3663218BB5AB}"/>
    </customSheetView>
    <customSheetView guid="{902CE914-A5B4-4C3D-94E2-6CE676CE7F3D}" filter="1" showAutoFilter="1">
      <pageMargins left="0.511811024" right="0.511811024" top="0.78740157499999996" bottom="0.78740157499999996" header="0.31496062000000002" footer="0.31496062000000002"/>
      <autoFilter ref="B2:AK866" xr:uid="{C6981323-6D44-43A2-A395-FAF958EFAA92}"/>
    </customSheetView>
    <customSheetView guid="{BDBC6C63-9C81-4FA7-BDD1-7783C0C5BE8F}" filter="1" showAutoFilter="1">
      <pageMargins left="0.511811024" right="0.511811024" top="0.78740157499999996" bottom="0.78740157499999996" header="0.31496062000000002" footer="0.31496062000000002"/>
      <autoFilter ref="F2:F871" xr:uid="{5A442CD3-228B-47CD-AAD0-A5C7EB1CE0E8}"/>
    </customSheetView>
    <customSheetView guid="{41D88D91-A03F-4905-86BE-3778DE8CB239}" filter="1" showAutoFilter="1">
      <pageMargins left="0.511811024" right="0.511811024" top="0.78740157499999996" bottom="0.78740157499999996" header="0.31496062000000002" footer="0.31496062000000002"/>
      <autoFilter ref="K2:K871" xr:uid="{304AF5CB-08B6-4EF6-BFB6-82015CABB09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E802A29-AF72-4ED4-A5B6-E025507C90ED}" filter="1" showAutoFilter="1">
      <pageMargins left="0.511811024" right="0.511811024" top="0.78740157499999996" bottom="0.78740157499999996" header="0.31496062000000002" footer="0.31496062000000002"/>
      <autoFilter ref="A1:AT862" xr:uid="{036DB418-B61C-4963-AA1F-D1BBC391ABA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C628EB8-8BA1-4BFD-859B-320FB2EF19D4}" filter="1" showAutoFilter="1">
      <pageMargins left="0.511811024" right="0.511811024" top="0.78740157499999996" bottom="0.78740157499999996" header="0.31496062000000002" footer="0.31496062000000002"/>
      <autoFilter ref="A2:AR862" xr:uid="{BD01F3B5-D73D-448E-B11A-6AFABA0AB83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985B50B-589A-4557-BF13-FBD2AA6CBFEF}" filter="1" showAutoFilter="1">
      <pageMargins left="0.511811024" right="0.511811024" top="0.78740157499999996" bottom="0.78740157499999996" header="0.31496062000000002" footer="0.31496062000000002"/>
      <autoFilter ref="B2:AL866" xr:uid="{3B6DC0BB-3839-401F-9214-CE1B3820F3E7}"/>
    </customSheetView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K2:L871" xr:uid="{9A176C88-A605-4325-8DCB-56E6F044343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25F61B6-50E0-40D2-98F1-D4778FDA7DBB}" filter="1" showAutoFilter="1">
      <pageMargins left="0.511811024" right="0.511811024" top="0.78740157499999996" bottom="0.78740157499999996" header="0.31496062000000002" footer="0.31496062000000002"/>
      <autoFilter ref="A1:AR862" xr:uid="{C900E4DE-A663-4195-9BAD-C28CBEF4052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CAE7E77-4A39-4917-9C14-62F9E9C75562}" filter="1" showAutoFilter="1">
      <pageMargins left="0.511811024" right="0.511811024" top="0.78740157499999996" bottom="0.78740157499999996" header="0.31496062000000002" footer="0.31496062000000002"/>
      <autoFilter ref="A1:AO871" xr:uid="{AF2C5E0A-326B-460C-AD49-5A3BD28BD5C5}"/>
    </customSheetView>
    <customSheetView guid="{05EE2FE8-A348-49B7-BAD8-2996D4687A74}" filter="1" showAutoFilter="1">
      <pageMargins left="0.511811024" right="0.511811024" top="0.78740157499999996" bottom="0.78740157499999996" header="0.31496062000000002" footer="0.31496062000000002"/>
      <autoFilter ref="AD2:AD871" xr:uid="{6B496B75-0FD3-4C81-A234-D824BAEE0613}"/>
    </customSheetView>
    <customSheetView guid="{A5AB1869-2729-4B4B-8ABC-048C8B9EC3DD}" filter="1" showAutoFilter="1">
      <pageMargins left="0.511811024" right="0.511811024" top="0.78740157499999996" bottom="0.78740157499999996" header="0.31496062000000002" footer="0.31496062000000002"/>
      <autoFilter ref="A1:AO871" xr:uid="{24664ED5-C3C1-48E5-850D-3AE8A80222B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88BAC00F-7849-4FB4-B48F-E48D798BB097}" filter="1" showAutoFilter="1">
      <pageMargins left="0.511811024" right="0.511811024" top="0.78740157499999996" bottom="0.78740157499999996" header="0.31496062000000002" footer="0.31496062000000002"/>
      <autoFilter ref="A1:AO862" xr:uid="{ECCE362B-2E38-4FD6-87D5-4CE0B5EF93B2}"/>
    </customSheetView>
    <customSheetView guid="{856B58A2-833F-4A76-A5F2-931ECE0EED94}" filter="1" showAutoFilter="1">
      <pageMargins left="0.511811024" right="0.511811024" top="0.78740157499999996" bottom="0.78740157499999996" header="0.31496062000000002" footer="0.31496062000000002"/>
      <autoFilter ref="A1:AN866" xr:uid="{D6964092-9FAA-4D18-AEFF-9C2EA77AE55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A19E6034-CFD2-4537-B57B-344641ACAE57}" filter="1" showAutoFilter="1">
      <pageMargins left="0.511811024" right="0.511811024" top="0.78740157499999996" bottom="0.78740157499999996" header="0.31496062000000002" footer="0.31496062000000002"/>
      <autoFilter ref="A2:AT862" xr:uid="{FCED77E2-1E6C-4F2E-A873-804ED40CE80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E3FF041-F392-4149-A91D-8A0AB6F020F4}" filter="1" showAutoFilter="1">
      <pageMargins left="0.511811024" right="0.511811024" top="0.78740157499999996" bottom="0.78740157499999996" header="0.31496062000000002" footer="0.31496062000000002"/>
      <autoFilter ref="K2:K871" xr:uid="{AED12665-6F47-41B0-9B62-00C3AD330B0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1678CA9-4AFA-466E-A9CB-A9B48CEF08D2}" filter="1" showAutoFilter="1">
      <pageMargins left="0.511811024" right="0.511811024" top="0.78740157499999996" bottom="0.78740157499999996" header="0.31496062000000002" footer="0.31496062000000002"/>
      <autoFilter ref="A1:AT862" xr:uid="{F623439C-A375-4861-B3E2-909F003688A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C0B501E-5A4F-4189-B349-41D142F46CB1}" filter="1" showAutoFilter="1">
      <pageMargins left="0.511811024" right="0.511811024" top="0.78740157499999996" bottom="0.78740157499999996" header="0.31496062000000002" footer="0.31496062000000002"/>
      <autoFilter ref="E2:F871" xr:uid="{DB5D4A0A-7246-4B2C-ADAE-9EF594B77A94}"/>
    </customSheetView>
    <customSheetView guid="{A17B8D19-79C9-43DE-A9C5-A2C0E61B5967}" filter="1" showAutoFilter="1">
      <pageMargins left="0.511811024" right="0.511811024" top="0.78740157499999996" bottom="0.78740157499999996" header="0.31496062000000002" footer="0.31496062000000002"/>
      <autoFilter ref="A1:AT866" xr:uid="{3648911B-F9BE-4044-B351-64CFF9B8B193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A5FF1E9-1593-49BE-93D1-D29A7CB01ECC}" filter="1" showAutoFilter="1">
      <pageMargins left="0.511811024" right="0.511811024" top="0.78740157499999996" bottom="0.78740157499999996" header="0.31496062000000002" footer="0.31496062000000002"/>
      <autoFilter ref="A1:AR862" xr:uid="{9317DA2C-F953-4682-8A8B-D484DBD249DA}">
        <filterColumn colId="21">
          <filters>
            <filter val="Inativo"/>
          </filters>
        </filterColumn>
      </autoFilter>
    </customSheetView>
    <customSheetView guid="{90ECAC24-B734-46B0-9524-9B8EFE40C01E}" filter="1" showAutoFilter="1">
      <pageMargins left="0.511811024" right="0.511811024" top="0.78740157499999996" bottom="0.78740157499999996" header="0.31496062000000002" footer="0.31496062000000002"/>
      <autoFilter ref="A1:AT862" xr:uid="{A4ED042D-C532-47F2-9FF3-E159AE7E8CFA}">
        <filterColumn colId="7">
          <filters>
            <filter val="Pode Operar"/>
          </filters>
        </filterColumn>
      </autoFilter>
    </customSheetView>
    <customSheetView guid="{72605CD4-D183-43EC-B14E-A23E6A40422F}" filter="1" showAutoFilter="1">
      <pageMargins left="0.511811024" right="0.511811024" top="0.78740157499999996" bottom="0.78740157499999996" header="0.31496062000000002" footer="0.31496062000000002"/>
      <autoFilter ref="A1:AR862" xr:uid="{DE8435B3-FB9B-4EDE-A397-FBA81CA62702}"/>
    </customSheetView>
    <customSheetView guid="{6EBCB877-02FC-4B13-9BB1-D9B981E49061}" filter="1" showAutoFilter="1">
      <pageMargins left="0.511811024" right="0.511811024" top="0.78740157499999996" bottom="0.78740157499999996" header="0.31496062000000002" footer="0.31496062000000002"/>
      <autoFilter ref="A1:AO871" xr:uid="{B7823713-5534-4F05-92DD-0D1A323C0D1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CDCAD71-1E51-4539-9113-89C3873F6C7A}" filter="1" showAutoFilter="1">
      <pageMargins left="0.511811024" right="0.511811024" top="0.78740157499999996" bottom="0.78740157499999996" header="0.31496062000000002" footer="0.31496062000000002"/>
      <autoFilter ref="A1:AO870" xr:uid="{6F2584FE-76DD-4F22-9CB8-F89A3940001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3D4E6C7-C366-43CA-8432-A73827C7F027}" filter="1" showAutoFilter="1">
      <pageMargins left="0.511811024" right="0.511811024" top="0.78740157499999996" bottom="0.78740157499999996" header="0.31496062000000002" footer="0.31496062000000002"/>
      <autoFilter ref="A1:AR862" xr:uid="{847412DF-D376-481C-9701-4B0643D0376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7350A90-EAA6-4099-83B7-B219FD252084}" filter="1" showAutoFilter="1">
      <pageMargins left="0.511811024" right="0.511811024" top="0.78740157499999996" bottom="0.78740157499999996" header="0.31496062000000002" footer="0.31496062000000002"/>
      <autoFilter ref="A1:AR862" xr:uid="{192B9A34-7FF4-4D73-84EA-579336EF8628}"/>
    </customSheetView>
    <customSheetView guid="{42803860-2CA3-409B-89FC-7CB037BF407B}" filter="1" showAutoFilter="1">
      <pageMargins left="0.511811024" right="0.511811024" top="0.78740157499999996" bottom="0.78740157499999996" header="0.31496062000000002" footer="0.31496062000000002"/>
      <autoFilter ref="B2:AL866" xr:uid="{EE28DA63-CC4D-454C-94B2-CB0E9BB7EE1C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BE7D6452-A024-48FB-87A2-4D52B7993650}" filter="1" showAutoFilter="1">
      <pageMargins left="0.511811024" right="0.511811024" top="0.78740157499999996" bottom="0.78740157499999996" header="0.31496062000000002" footer="0.31496062000000002"/>
      <autoFilter ref="A1:AT866" xr:uid="{A828C443-4D09-42CB-930B-1309E3661F98}">
        <filterColumn colId="7">
          <filters blank="1">
            <filter val="Ativo"/>
          </filters>
        </filterColumn>
      </autoFilter>
    </customSheetView>
    <customSheetView guid="{2F7750B9-9992-4A72-83F7-EB5DC96A8C8F}" filter="1" showAutoFilter="1">
      <pageMargins left="0.511811024" right="0.511811024" top="0.78740157499999996" bottom="0.78740157499999996" header="0.31496062000000002" footer="0.31496062000000002"/>
      <autoFilter ref="D2:F871" xr:uid="{EAEB2949-B9D4-4B58-9299-09C2CA29D76A}"/>
    </customSheetView>
    <customSheetView guid="{8FCBA22E-5B60-40BA-A507-F125CDE0A364}" filter="1" showAutoFilter="1">
      <pageMargins left="0.511811024" right="0.511811024" top="0.78740157499999996" bottom="0.78740157499999996" header="0.31496062000000002" footer="0.31496062000000002"/>
      <autoFilter ref="A1:AT862" xr:uid="{B741A6C8-2362-4D7A-8191-5986C773A72D}"/>
    </customSheetView>
    <customSheetView guid="{679BD5E5-95BB-4039-B6AC-606ED333589C}" filter="1" showAutoFilter="1">
      <pageMargins left="0.511811024" right="0.511811024" top="0.78740157499999996" bottom="0.78740157499999996" header="0.31496062000000002" footer="0.31496062000000002"/>
      <autoFilter ref="A1:AT862" xr:uid="{A445CD62-B9F4-4A20-AE3C-CF4FC6DE928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6587AA9-651A-477C-920F-6526E8A97CBA}" filter="1" showAutoFilter="1">
      <pageMargins left="0.511811024" right="0.511811024" top="0.78740157499999996" bottom="0.78740157499999996" header="0.31496062000000002" footer="0.31496062000000002"/>
      <autoFilter ref="A1:AN866" xr:uid="{F9EF3C55-4FEA-466C-A030-2A34F8CEEF9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849DA94-1418-424D-BCA5-7A2C4F887372}" filter="1" showAutoFilter="1">
      <pageMargins left="0.511811024" right="0.511811024" top="0.78740157499999996" bottom="0.78740157499999996" header="0.31496062000000002" footer="0.31496062000000002"/>
      <autoFilter ref="F2:F871" xr:uid="{A3EB12C6-920A-495A-BE33-66BE7310B1DC}"/>
    </customSheetView>
    <customSheetView guid="{35EF1651-84D8-4F09-8353-391BFF2EC862}" filter="1" showAutoFilter="1">
      <pageMargins left="0.511811024" right="0.511811024" top="0.78740157499999996" bottom="0.78740157499999996" header="0.31496062000000002" footer="0.31496062000000002"/>
      <autoFilter ref="B2:AK866" xr:uid="{FA7416E7-450F-4AF8-BAF6-14D8D60BD66D}"/>
    </customSheetView>
    <customSheetView guid="{3901FD6E-3E4F-42B5-8DD9-4832B527D658}" filter="1" showAutoFilter="1">
      <pageMargins left="0.511811024" right="0.511811024" top="0.78740157499999996" bottom="0.78740157499999996" header="0.31496062000000002" footer="0.31496062000000002"/>
      <autoFilter ref="A1:BA866" xr:uid="{A24BE56D-887A-469E-B185-AD5E3BCE1864}"/>
    </customSheetView>
    <customSheetView guid="{9D03C712-1F11-42B1-86C9-82B94ACA5738}" filter="1" showAutoFilter="1">
      <pageMargins left="0.511811024" right="0.511811024" top="0.78740157499999996" bottom="0.78740157499999996" header="0.31496062000000002" footer="0.31496062000000002"/>
      <autoFilter ref="B2:Q866" xr:uid="{4B39A7BE-8543-416C-A3B0-2D91ACFFDCF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9D9A1F7-1A24-4CA1-BED4-4ECC2E944BEC}" filter="1" showAutoFilter="1">
      <pageMargins left="0.511811024" right="0.511811024" top="0.78740157499999996" bottom="0.78740157499999996" header="0.31496062000000002" footer="0.31496062000000002"/>
      <autoFilter ref="A1:AR862" xr:uid="{EFE8EF83-1C5E-42C5-9305-F95262A87A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619D87-CD19-4FFF-AE24-E2AECAB3E2EE}" filter="1" showAutoFilter="1">
      <pageMargins left="0.511811024" right="0.511811024" top="0.78740157499999996" bottom="0.78740157499999996" header="0.31496062000000002" footer="0.31496062000000002"/>
      <autoFilter ref="M2:M871" xr:uid="{44021875-BD62-4B9B-9F23-AB8C7126CA4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2230D01-9778-44E5-9FC7-1CEE13C39EFA}" filter="1" showAutoFilter="1">
      <pageMargins left="0.511811024" right="0.511811024" top="0.78740157499999996" bottom="0.78740157499999996" header="0.31496062000000002" footer="0.31496062000000002"/>
      <autoFilter ref="A1:AS862" xr:uid="{5025569A-C3A2-4243-92B5-3D0DF1E2E47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973AF07-A6A6-4C06-81E1-DBC5B1B2B7FA}" filter="1" showAutoFilter="1">
      <pageMargins left="0.511811024" right="0.511811024" top="0.78740157499999996" bottom="0.78740157499999996" header="0.31496062000000002" footer="0.31496062000000002"/>
      <autoFilter ref="B2:AL866" xr:uid="{03580353-F5F2-45BE-B9FE-565E1101246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23B9B2B3-A936-4DBD-88B3-0A988C85FAAA}" filter="1" showAutoFilter="1">
      <pageMargins left="0.511811024" right="0.511811024" top="0.78740157499999996" bottom="0.78740157499999996" header="0.31496062000000002" footer="0.31496062000000002"/>
      <autoFilter ref="D2:AK871" xr:uid="{62666949-4E71-4A82-9E66-BFCAB4AE7B25}"/>
    </customSheetView>
    <customSheetView guid="{9295FED8-7521-4E1C-B75F-8D7F60BEE580}" filter="1" showAutoFilter="1">
      <pageMargins left="0.511811024" right="0.511811024" top="0.78740157499999996" bottom="0.78740157499999996" header="0.31496062000000002" footer="0.31496062000000002"/>
      <autoFilter ref="A1:AN866" xr:uid="{2F0AFEA0-3290-47DC-BD53-53360DB053C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695ECAD-052A-41E6-9B10-9855CE143A7A}" filter="1" showAutoFilter="1">
      <pageMargins left="0.511811024" right="0.511811024" top="0.78740157499999996" bottom="0.78740157499999996" header="0.31496062000000002" footer="0.31496062000000002"/>
      <autoFilter ref="D2:K871" xr:uid="{B8F77000-AFA6-42F6-A237-BEB464A6BED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4C8198-26BA-4D5E-9123-F6888D47CE86}" filter="1" showAutoFilter="1">
      <pageMargins left="0.511811024" right="0.511811024" top="0.78740157499999996" bottom="0.78740157499999996" header="0.31496062000000002" footer="0.31496062000000002"/>
      <autoFilter ref="B2:AL866" xr:uid="{604A10FC-D3DF-4993-BF7A-9298F7E08F02}"/>
    </customSheetView>
    <customSheetView guid="{FB4420EB-207E-4633-B206-EAF63B6BD124}" filter="1" showAutoFilter="1">
      <pageMargins left="0.511811024" right="0.511811024" top="0.78740157499999996" bottom="0.78740157499999996" header="0.31496062000000002" footer="0.31496062000000002"/>
      <autoFilter ref="B2:AK866" xr:uid="{03D836E9-D3D2-4EE7-A853-A243248E8892}"/>
    </customSheetView>
    <customSheetView guid="{3823B51D-6CEC-4168-91C6-998F5EA5904A}" filter="1" showAutoFilter="1">
      <pageMargins left="0.511811024" right="0.511811024" top="0.78740157499999996" bottom="0.78740157499999996" header="0.31496062000000002" footer="0.31496062000000002"/>
      <autoFilter ref="A1:AT862" xr:uid="{F39C939D-DC3A-4955-A2BE-E5255BC7EABB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BF288C53-1972-433C-9389-E9BF4DCD7A4B}" filter="1" showAutoFilter="1">
      <pageMargins left="0.511811024" right="0.511811024" top="0.78740157499999996" bottom="0.78740157499999996" header="0.31496062000000002" footer="0.31496062000000002"/>
      <autoFilter ref="F2:AK871" xr:uid="{60BA1E4A-91B3-4325-BB55-5767CEFB44BB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2213F2C-3F45-4A28-B805-D78DD2AAC109}" filter="1" showAutoFilter="1">
      <pageMargins left="0.511811024" right="0.511811024" top="0.78740157499999996" bottom="0.78740157499999996" header="0.31496062000000002" footer="0.31496062000000002"/>
      <autoFilter ref="A1:AO871" xr:uid="{89698DD5-6918-4685-9472-15F37DC1CAA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DB47203-B7B5-4211-BC56-2B4E572FBD39}" filter="1" showAutoFilter="1">
      <pageMargins left="0.511811024" right="0.511811024" top="0.78740157499999996" bottom="0.78740157499999996" header="0.31496062000000002" footer="0.31496062000000002"/>
      <autoFilter ref="A2:AT862" xr:uid="{4AF85C2D-B142-4963-BB21-5370D7C9A6B7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A30659A-0161-4689-8448-C30A53896838}" filter="1" showAutoFilter="1">
      <pageMargins left="0.511811024" right="0.511811024" top="0.78740157499999996" bottom="0.78740157499999996" header="0.31496062000000002" footer="0.31496062000000002"/>
      <autoFilter ref="A2:AS862" xr:uid="{5FEA3D33-D9FD-46BD-9958-B9E8117F09B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01E13BA-FC77-4569-A58E-12AEA485D7B6}" filter="1" showAutoFilter="1">
      <pageMargins left="0.511811024" right="0.511811024" top="0.78740157499999996" bottom="0.78740157499999996" header="0.31496062000000002" footer="0.31496062000000002"/>
      <autoFilter ref="A1:AN866" xr:uid="{14C0ED0A-408F-4928-95F9-E33EE227D889}"/>
    </customSheetView>
    <customSheetView guid="{5AE29003-739D-420D-B90A-30B0A15E139C}" filter="1" showAutoFilter="1">
      <pageMargins left="0.511811024" right="0.511811024" top="0.78740157499999996" bottom="0.78740157499999996" header="0.31496062000000002" footer="0.31496062000000002"/>
      <autoFilter ref="D2:F871" xr:uid="{ACA11494-4FA9-4C83-B980-9431419EB853}"/>
    </customSheetView>
    <customSheetView guid="{E8EB3DB7-DE21-46BA-B4E9-AF5AAEE9D82A}" filter="1" showAutoFilter="1">
      <pageMargins left="0.511811024" right="0.511811024" top="0.78740157499999996" bottom="0.78740157499999996" header="0.31496062000000002" footer="0.31496062000000002"/>
      <autoFilter ref="AT8:AT859" xr:uid="{A5877774-E470-47ED-8C4C-D483F922D9AC}"/>
    </customSheetView>
    <customSheetView guid="{5D44B39B-277B-4C7A-BD8A-5463D70ACC0F}" filter="1" showAutoFilter="1">
      <pageMargins left="0.511811024" right="0.511811024" top="0.78740157499999996" bottom="0.78740157499999996" header="0.31496062000000002" footer="0.31496062000000002"/>
      <autoFilter ref="B2:AK866" xr:uid="{1C2664AA-A63B-4282-84DC-F609EE26D4E2}"/>
    </customSheetView>
    <customSheetView guid="{73804860-C66F-4AD9-A5ED-DE9B46A8E773}" filter="1" showAutoFilter="1">
      <pageMargins left="0.511811024" right="0.511811024" top="0.78740157499999996" bottom="0.78740157499999996" header="0.31496062000000002" footer="0.31496062000000002"/>
      <autoFilter ref="B2:AI866" xr:uid="{0D6C469A-3B92-4944-A31B-87CB04A57209}"/>
    </customSheetView>
    <customSheetView guid="{0CA26242-E290-4B7A-BB85-3A5C0657C0D6}" filter="1" showAutoFilter="1">
      <pageMargins left="0.511811024" right="0.511811024" top="0.78740157499999996" bottom="0.78740157499999996" header="0.31496062000000002" footer="0.31496062000000002"/>
      <autoFilter ref="A2:AT862" xr:uid="{9BD652C6-7765-4D66-AD8A-4B8B9057FAB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38DF29A-C66B-4A6D-943E-627D67090951}" filter="1" showAutoFilter="1">
      <pageMargins left="0.511811024" right="0.511811024" top="0.78740157499999996" bottom="0.78740157499999996" header="0.31496062000000002" footer="0.31496062000000002"/>
      <autoFilter ref="A1:AN866" xr:uid="{84A6663C-EE20-4562-9AC2-EDD68F523C2B}"/>
    </customSheetView>
    <customSheetView guid="{3B11E87A-6304-4141-B5A2-4F7F7226131F}" filter="1" showAutoFilter="1">
      <pageMargins left="0.511811024" right="0.511811024" top="0.78740157499999996" bottom="0.78740157499999996" header="0.31496062000000002" footer="0.31496062000000002"/>
      <autoFilter ref="A1:AQ862" xr:uid="{21796113-D89B-4138-8250-45730C1EEC2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1490E76-A4C7-4701-9522-DF8F08B6EC2D}" filter="1" showAutoFilter="1">
      <pageMargins left="0.511811024" right="0.511811024" top="0.78740157499999996" bottom="0.78740157499999996" header="0.31496062000000002" footer="0.31496062000000002"/>
      <autoFilter ref="B2:AL866" xr:uid="{36603882-7310-4DA2-A785-99FDCD07A9EB}"/>
    </customSheetView>
    <customSheetView guid="{EA449EF3-7A32-4F7F-A182-E5520C8A1BAC}" filter="1" showAutoFilter="1">
      <pageMargins left="0.511811024" right="0.511811024" top="0.78740157499999996" bottom="0.78740157499999996" header="0.31496062000000002" footer="0.31496062000000002"/>
      <autoFilter ref="A1:AR862" xr:uid="{D7B9D2DD-E178-4260-A5EF-E4808DC7550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7098C45-7E03-44FC-B007-F05B9C370963}" filter="1" showAutoFilter="1">
      <pageMargins left="0.511811024" right="0.511811024" top="0.78740157499999996" bottom="0.78740157499999996" header="0.31496062000000002" footer="0.31496062000000002"/>
      <autoFilter ref="A1:AO871" xr:uid="{16AEF6E7-787F-47BD-B5FD-06662970FAE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148080E-FCB4-4445-A60A-2BAB191469D7}" filter="1" showAutoFilter="1">
      <pageMargins left="0.511811024" right="0.511811024" top="0.78740157499999996" bottom="0.78740157499999996" header="0.31496062000000002" footer="0.31496062000000002"/>
      <autoFilter ref="A2:AS862" xr:uid="{E428B557-20E2-45E5-ACC0-87C2A3D5532D}"/>
    </customSheetView>
    <customSheetView guid="{E650C049-012D-42F5-91B9-B33E1BEE8CDA}" filter="1" showAutoFilter="1">
      <pageMargins left="0.511811024" right="0.511811024" top="0.78740157499999996" bottom="0.78740157499999996" header="0.31496062000000002" footer="0.31496062000000002"/>
      <autoFilter ref="F2:F871" xr:uid="{2CD2EFD8-3924-4B0B-8D4C-A4B5BB5F33A0}"/>
    </customSheetView>
    <customSheetView guid="{7A3EEC3D-B852-4E63-9D17-79319870A059}" filter="1" showAutoFilter="1">
      <pageMargins left="0.511811024" right="0.511811024" top="0.78740157499999996" bottom="0.78740157499999996" header="0.31496062000000002" footer="0.31496062000000002"/>
      <autoFilter ref="B2:AI866" xr:uid="{3CDC7269-A4A2-4679-9ED7-C096F37F4B0E}"/>
    </customSheetView>
    <customSheetView guid="{945C5F7D-BAA2-4A70-92B3-2AE23BE4CEB4}" filter="1" showAutoFilter="1">
      <pageMargins left="0.511811024" right="0.511811024" top="0.78740157499999996" bottom="0.78740157499999996" header="0.31496062000000002" footer="0.31496062000000002"/>
      <autoFilter ref="D2:F871" xr:uid="{F635735F-F5C3-494F-9502-E1F1D5356025}"/>
    </customSheetView>
    <customSheetView guid="{8E5CF15B-9253-4399-9FF3-86346F28D51C}" filter="1" showAutoFilter="1">
      <pageMargins left="0.511811024" right="0.511811024" top="0.78740157499999996" bottom="0.78740157499999996" header="0.31496062000000002" footer="0.31496062000000002"/>
      <autoFilter ref="A2:AT862" xr:uid="{14B7F674-B94A-4BA5-866C-E85BC577DB19}">
        <filterColumn colId="7">
          <filters>
            <filter val="Pode Operar"/>
          </filters>
        </filterColumn>
      </autoFilter>
    </customSheetView>
    <customSheetView guid="{2B78DB92-23ED-41AE-800E-0D62B2C0D00C}" filter="1" showAutoFilter="1">
      <pageMargins left="0.511811024" right="0.511811024" top="0.78740157499999996" bottom="0.78740157499999996" header="0.31496062000000002" footer="0.31496062000000002"/>
      <autoFilter ref="A1:AR862" xr:uid="{24598BD4-EC5D-47AF-82FA-BADBC3D56457}"/>
    </customSheetView>
    <customSheetView guid="{83C7FF90-A5AD-4758-A2B4-300004226B48}" filter="1" showAutoFilter="1">
      <pageMargins left="0.511811024" right="0.511811024" top="0.78740157499999996" bottom="0.78740157499999996" header="0.31496062000000002" footer="0.31496062000000002"/>
      <autoFilter ref="B2:AM866" xr:uid="{22DF8A7C-B55A-4FE3-95DB-C01F96D0A9BF}"/>
    </customSheetView>
    <customSheetView guid="{0616E5D7-6B15-4886-AF37-50EDCE1D812A}" filter="1" showAutoFilter="1">
      <pageMargins left="0.511811024" right="0.511811024" top="0.78740157499999996" bottom="0.78740157499999996" header="0.31496062000000002" footer="0.31496062000000002"/>
      <autoFilter ref="B2:AL866" xr:uid="{306660A8-5026-477D-9736-E80E54970390}"/>
    </customSheetView>
    <customSheetView guid="{1E87707B-6D76-46E7-BC5B-AB6DDDF993FE}" filter="1" showAutoFilter="1">
      <pageMargins left="0.511811024" right="0.511811024" top="0.78740157499999996" bottom="0.78740157499999996" header="0.31496062000000002" footer="0.31496062000000002"/>
      <autoFilter ref="D2:E864" xr:uid="{C4DF4DDC-D290-4FB3-8B33-E5CDB986E7E9}">
        <filterColumn colId="1">
          <filters>
            <filter val="SUL"/>
          </filters>
        </filterColumn>
      </autoFilter>
    </customSheetView>
    <customSheetView guid="{EA5E2C98-FD99-4015-9596-C97482B84F02}" filter="1" showAutoFilter="1">
      <pageMargins left="0.511811024" right="0.511811024" top="0.78740157499999996" bottom="0.78740157499999996" header="0.31496062000000002" footer="0.31496062000000002"/>
      <autoFilter ref="A1:AN866" xr:uid="{2E9120A4-C16E-413A-A724-DEDCAF8D8FF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E3948AB-65AC-43C1-8DD3-5D5B3DE10666}" filter="1" showAutoFilter="1">
      <pageMargins left="0.511811024" right="0.511811024" top="0.78740157499999996" bottom="0.78740157499999996" header="0.31496062000000002" footer="0.31496062000000002"/>
      <autoFilter ref="A1:AQ862" xr:uid="{E809926F-54CC-4C90-AD1D-F894E28FF67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234160C-1662-455A-AF1D-912AE025C3B4}" filter="1" showAutoFilter="1">
      <pageMargins left="0.511811024" right="0.511811024" top="0.78740157499999996" bottom="0.78740157499999996" header="0.31496062000000002" footer="0.31496062000000002"/>
      <autoFilter ref="B2:AL866" xr:uid="{88B5EB94-7981-4417-99B9-8D1431D02AC3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BE1A573-7F5C-4165-AEAB-13C2F8CBD466}" filter="1" showAutoFilter="1">
      <pageMargins left="0.511811024" right="0.511811024" top="0.78740157499999996" bottom="0.78740157499999996" header="0.31496062000000002" footer="0.31496062000000002"/>
      <autoFilter ref="D2:AK871" xr:uid="{0EB476DF-20D3-4F5A-B37D-3E16B88C045C}"/>
    </customSheetView>
    <customSheetView guid="{BA6A789B-D303-47FF-B474-FEDF0B212CDF}" filter="1" showAutoFilter="1">
      <pageMargins left="0.511811024" right="0.511811024" top="0.78740157499999996" bottom="0.78740157499999996" header="0.31496062000000002" footer="0.31496062000000002"/>
      <autoFilter ref="AE2:AE871" xr:uid="{0E301020-3D09-4F52-8534-1BF24D3E0D54}"/>
    </customSheetView>
    <customSheetView guid="{EE7469D8-FEC6-4B23-AA72-228C5388AD9B}" filter="1" showAutoFilter="1">
      <pageMargins left="0.511811024" right="0.511811024" top="0.78740157499999996" bottom="0.78740157499999996" header="0.31496062000000002" footer="0.31496062000000002"/>
      <autoFilter ref="A1:AR862" xr:uid="{D61755EF-4851-4F9E-A9C7-0F36939AFED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F46F194-7968-4331-8727-DBC55E768B17}" filter="1" showAutoFilter="1">
      <pageMargins left="0.511811024" right="0.511811024" top="0.78740157499999996" bottom="0.78740157499999996" header="0.31496062000000002" footer="0.31496062000000002"/>
      <autoFilter ref="A1:AP871" xr:uid="{F9A1E40D-6FF6-4539-B0D2-DDDA66315C9A}"/>
    </customSheetView>
    <customSheetView guid="{94B629D8-E802-4A92-840A-56EA1B840EA5}" filter="1" showAutoFilter="1">
      <pageMargins left="0.511811024" right="0.511811024" top="0.78740157499999996" bottom="0.78740157499999996" header="0.31496062000000002" footer="0.31496062000000002"/>
      <autoFilter ref="A1:AR862" xr:uid="{09CA2BD5-24CA-4EF5-BCF4-F25EC42ECB1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1183B50-C841-4C15-A5C7-0CA251FAC99F}" filter="1" showAutoFilter="1">
      <pageMargins left="0.511811024" right="0.511811024" top="0.78740157499999996" bottom="0.78740157499999996" header="0.31496062000000002" footer="0.31496062000000002"/>
      <autoFilter ref="A2:AS862" xr:uid="{FE7A8125-3DEA-4F18-B868-A132E1E4CFB3}">
        <filterColumn colId="4">
          <filters>
            <filter val="SUL"/>
          </filters>
        </filterColumn>
      </autoFilter>
    </customSheetView>
    <customSheetView guid="{599401B2-984C-44B9-A17F-64A00875707C}" filter="1" showAutoFilter="1">
      <pageMargins left="0.511811024" right="0.511811024" top="0.78740157499999996" bottom="0.78740157499999996" header="0.31496062000000002" footer="0.31496062000000002"/>
      <autoFilter ref="A1:AP862" xr:uid="{3EE27DCB-76D2-460C-8FAB-AB892DC89F44}">
        <filterColumn colId="4">
          <filters>
            <filter val="DF"/>
          </filters>
        </filterColumn>
      </autoFilter>
    </customSheetView>
    <customSheetView guid="{F2A71975-677C-4C6F-B68B-99950C065530}" filter="1" showAutoFilter="1">
      <pageMargins left="0.511811024" right="0.511811024" top="0.78740157499999996" bottom="0.78740157499999996" header="0.31496062000000002" footer="0.31496062000000002"/>
      <autoFilter ref="A1:F862" xr:uid="{EEB56341-8B0D-4928-B22D-0E89690A530C}"/>
    </customSheetView>
    <customSheetView guid="{44C28A3A-F9E3-4AFE-B9E9-255038725DDE}" filter="1" showAutoFilter="1">
      <pageMargins left="0.511811024" right="0.511811024" top="0.78740157499999996" bottom="0.78740157499999996" header="0.31496062000000002" footer="0.31496062000000002"/>
      <autoFilter ref="B2:AI866" xr:uid="{ADE8CA99-2D6E-4631-993C-83B0D0A187F8}"/>
    </customSheetView>
    <customSheetView guid="{F25A0CC7-8178-4D64-A53C-73E539C992EC}" filter="1" showAutoFilter="1">
      <pageMargins left="0.511811024" right="0.511811024" top="0.78740157499999996" bottom="0.78740157499999996" header="0.31496062000000002" footer="0.31496062000000002"/>
      <autoFilter ref="A1:AS862" xr:uid="{EAE71DD5-A712-477E-B61A-9D1AA41F8DA6}"/>
    </customSheetView>
    <customSheetView guid="{294CB357-E3E9-4C1F-891C-43CF83DD63F6}" filter="1" showAutoFilter="1">
      <pageMargins left="0.511811024" right="0.511811024" top="0.78740157499999996" bottom="0.78740157499999996" header="0.31496062000000002" footer="0.31496062000000002"/>
      <autoFilter ref="B2:AK871" xr:uid="{E4F0F47E-41A2-4ADC-B4A9-AEAA82F011AB}"/>
    </customSheetView>
    <customSheetView guid="{00D0E2B6-F407-4B1C-9AF6-FDC7920B0516}" filter="1" showAutoFilter="1">
      <pageMargins left="0.511811024" right="0.511811024" top="0.78740157499999996" bottom="0.78740157499999996" header="0.31496062000000002" footer="0.31496062000000002"/>
      <autoFilter ref="B2:AK866" xr:uid="{08B64EDE-3CCA-4C9C-BB90-F9ECDD5BD6B1}"/>
    </customSheetView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B2:AM866" xr:uid="{BD5506E5-F6C8-4303-ABA1-3B35B5934D2D}">
        <filterColumn colId="6">
          <filters blank="1">
            <filter val="Ativo"/>
            <filter val="Inativo"/>
          </filters>
        </filterColumn>
      </autoFilter>
    </customSheetView>
    <customSheetView guid="{F0640A95-AB84-4099-AB16-22CC80627B3D}" filter="1" showAutoFilter="1">
      <pageMargins left="0.511811024" right="0.511811024" top="0.78740157499999996" bottom="0.78740157499999996" header="0.31496062000000002" footer="0.31496062000000002"/>
      <autoFilter ref="A1:AS862" xr:uid="{9FDC6559-0E6B-4236-A871-2F197AC059B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D76D480-E618-496C-AF48-707CE66C1CCA}" filter="1" showAutoFilter="1">
      <pageMargins left="0.511811024" right="0.511811024" top="0.78740157499999996" bottom="0.78740157499999996" header="0.31496062000000002" footer="0.31496062000000002"/>
      <autoFilter ref="A1:AR862" xr:uid="{5C28008E-CBEB-4F9B-ACFA-2B0DC36CE49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AD52135-278F-4BAA-820A-B7D4DCEAE217}" filter="1" showAutoFilter="1">
      <pageMargins left="0.511811024" right="0.511811024" top="0.78740157499999996" bottom="0.78740157499999996" header="0.31496062000000002" footer="0.31496062000000002"/>
      <autoFilter ref="A1:AN866" xr:uid="{43889584-97C6-4F3E-8D2A-23BB34276CD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B70DFF4-058E-4307-9A11-765FFB65B141}" filter="1" showAutoFilter="1">
      <pageMargins left="0.511811024" right="0.511811024" top="0.78740157499999996" bottom="0.78740157499999996" header="0.31496062000000002" footer="0.31496062000000002"/>
      <autoFilter ref="A1:AN866" xr:uid="{E4AE21FA-0493-4A94-8908-2EDC863D534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F59E872-2FCD-409A-8074-53EFF0E019F8}" filter="1" showAutoFilter="1">
      <pageMargins left="0.511811024" right="0.511811024" top="0.78740157499999996" bottom="0.78740157499999996" header="0.31496062000000002" footer="0.31496062000000002"/>
      <autoFilter ref="AL2:AL871" xr:uid="{EBAFF8F9-F26E-413B-8AE0-97A725CB801D}"/>
    </customSheetView>
    <customSheetView guid="{043EDE87-F627-4272-AF7E-4799C4BFDB28}" filter="1" showAutoFilter="1">
      <pageMargins left="0.511811024" right="0.511811024" top="0.78740157499999996" bottom="0.78740157499999996" header="0.31496062000000002" footer="0.31496062000000002"/>
      <autoFilter ref="A2:AS862" xr:uid="{E822D7ED-78BE-44F1-AF88-443E327488F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0FB7D11-3DC7-4E6D-9979-4CA4CFEC99D4}" filter="1" showAutoFilter="1">
      <pageMargins left="0.511811024" right="0.511811024" top="0.78740157499999996" bottom="0.78740157499999996" header="0.31496062000000002" footer="0.31496062000000002"/>
      <autoFilter ref="A1:AN866" xr:uid="{B4379F2A-E6BA-475B-8021-D30B9266362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B5B204D-A458-41D6-B377-3695C7CC533B}" filter="1" showAutoFilter="1">
      <pageMargins left="0.511811024" right="0.511811024" top="0.78740157499999996" bottom="0.78740157499999996" header="0.31496062000000002" footer="0.31496062000000002"/>
      <autoFilter ref="A2:AP862" xr:uid="{9AF6E2C2-83AF-439E-AD09-BCD8070DBA28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A7BC0F0-4C7D-4610-9F98-047A8D0EAF59}" filter="1" showAutoFilter="1">
      <pageMargins left="0.511811024" right="0.511811024" top="0.78740157499999996" bottom="0.78740157499999996" header="0.31496062000000002" footer="0.31496062000000002"/>
      <autoFilter ref="A1:AO866" xr:uid="{9B7A4EA9-BDA1-4AEB-A2DB-B4E6B7418A8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11E39E1-9AD3-453D-964D-3E9891605FEB}" filter="1" showAutoFilter="1">
      <pageMargins left="0.511811024" right="0.511811024" top="0.78740157499999996" bottom="0.78740157499999996" header="0.31496062000000002" footer="0.31496062000000002"/>
      <autoFilter ref="F2:F871" xr:uid="{6C7F39A9-F1D7-4F57-A1F7-D8CDC72147E2}"/>
    </customSheetView>
    <customSheetView guid="{F2FCB189-6941-49BB-B264-FDB0E51FFE97}" filter="1" showAutoFilter="1">
      <pageMargins left="0.511811024" right="0.511811024" top="0.78740157499999996" bottom="0.78740157499999996" header="0.31496062000000002" footer="0.31496062000000002"/>
      <autoFilter ref="A2:AR862" xr:uid="{8839C478-A668-4903-98EB-599484604A3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24E90CF-9FC7-4794-A72F-BDD032AE1262}" filter="1" showAutoFilter="1">
      <pageMargins left="0.511811024" right="0.511811024" top="0.78740157499999996" bottom="0.78740157499999996" header="0.31496062000000002" footer="0.31496062000000002"/>
      <autoFilter ref="F2:M871" xr:uid="{FE5F9908-E949-40D2-8143-490A09EE298A}"/>
    </customSheetView>
    <customSheetView guid="{8566B7D8-30A7-451F-8F19-5609DD307FEE}" filter="1" showAutoFilter="1">
      <pageMargins left="0.511811024" right="0.511811024" top="0.78740157499999996" bottom="0.78740157499999996" header="0.31496062000000002" footer="0.31496062000000002"/>
      <autoFilter ref="A2:AQ862" xr:uid="{04219810-B831-47EF-83B2-61A07DB6F04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0E72F40-E61C-45D8-9C35-1EFD914C9F1D}" filter="1" showAutoFilter="1">
      <pageMargins left="0.511811024" right="0.511811024" top="0.78740157499999996" bottom="0.78740157499999996" header="0.31496062000000002" footer="0.31496062000000002"/>
      <autoFilter ref="A1:AS862" xr:uid="{544A8605-B4AD-44A1-91EA-02EF41674BD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1D2E199-984B-4655-91CD-D4D8FD36D2F3}" filter="1" showAutoFilter="1">
      <pageMargins left="0.511811024" right="0.511811024" top="0.78740157499999996" bottom="0.78740157499999996" header="0.31496062000000002" footer="0.31496062000000002"/>
      <autoFilter ref="A1:AR862" xr:uid="{AF99236F-1D75-4205-BC01-2ECFE2D9F6B3}"/>
    </customSheetView>
    <customSheetView guid="{0F0D030E-B001-479F-B50D-63AC92171C87}" filter="1" showAutoFilter="1">
      <pageMargins left="0.511811024" right="0.511811024" top="0.78740157499999996" bottom="0.78740157499999996" header="0.31496062000000002" footer="0.31496062000000002"/>
      <autoFilter ref="B2:AL866" xr:uid="{B53F08CC-B5CC-4BA0-901E-65582506BF8A}"/>
    </customSheetView>
    <customSheetView guid="{FF4F0675-15CA-41BA-9DED-F72DFE02012F}" filter="1" showAutoFilter="1">
      <pageMargins left="0.511811024" right="0.511811024" top="0.78740157499999996" bottom="0.78740157499999996" header="0.31496062000000002" footer="0.31496062000000002"/>
      <autoFilter ref="A2:AR862" xr:uid="{228D832B-1EF6-4588-8F9C-427DC401B46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9A6CA0C-1E18-42CE-8B6B-ED7A802BABF7}" filter="1" showAutoFilter="1">
      <pageMargins left="0.511811024" right="0.511811024" top="0.78740157499999996" bottom="0.78740157499999996" header="0.31496062000000002" footer="0.31496062000000002"/>
      <autoFilter ref="A1:AO871" xr:uid="{D7422B4B-2557-4D53-B8D2-FE6E42C24DA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F857282-F998-4F36-8A9A-81337800B6B1}" filter="1" showAutoFilter="1">
      <pageMargins left="0.511811024" right="0.511811024" top="0.78740157499999996" bottom="0.78740157499999996" header="0.31496062000000002" footer="0.31496062000000002"/>
      <autoFilter ref="A1:AR862" xr:uid="{2AC0436E-B055-4D04-A31A-FC0108450E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B113019-417A-4BFD-B6A1-E3CF113E7982}" filter="1" showAutoFilter="1">
      <pageMargins left="0.511811024" right="0.511811024" top="0.78740157499999996" bottom="0.78740157499999996" header="0.31496062000000002" footer="0.31496062000000002"/>
      <autoFilter ref="A1:AR871" xr:uid="{8499CE7C-3770-4B39-B82B-3264F1DFF2D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25A5899-51C4-4745-8B4C-358F7EF9D3F9}" filter="1" showAutoFilter="1">
      <pageMargins left="0.511811024" right="0.511811024" top="0.78740157499999996" bottom="0.78740157499999996" header="0.31496062000000002" footer="0.31496062000000002"/>
      <autoFilter ref="A1:AN866" xr:uid="{BF24EAE7-A140-415A-91FC-69DF3D3C655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BBFEC2A-85D4-4D28-BE2A-F50DC8A5C326}" filter="1" showAutoFilter="1">
      <pageMargins left="0.511811024" right="0.511811024" top="0.78740157499999996" bottom="0.78740157499999996" header="0.31496062000000002" footer="0.31496062000000002"/>
      <autoFilter ref="A1:AQ862" xr:uid="{4CEA97E6-A2EA-4200-977E-B2DFBDE36887}"/>
    </customSheetView>
    <customSheetView guid="{204BBEC0-3DDC-415E-A212-9EEF6C586A3D}" filter="1" showAutoFilter="1">
      <pageMargins left="0.511811024" right="0.511811024" top="0.78740157499999996" bottom="0.78740157499999996" header="0.31496062000000002" footer="0.31496062000000002"/>
      <autoFilter ref="A1:AN871" xr:uid="{CCC4B4C9-C802-4C41-84F5-C01C11FB85D9}"/>
    </customSheetView>
    <customSheetView guid="{47DE036D-B20F-44CC-9B9D-1FC12335F326}" filter="1" showAutoFilter="1">
      <pageMargins left="0.511811024" right="0.511811024" top="0.78740157499999996" bottom="0.78740157499999996" header="0.31496062000000002" footer="0.31496062000000002"/>
      <autoFilter ref="F2:F871" xr:uid="{FCA53EB9-2CBE-4E4C-913B-9D418FC7160E}"/>
    </customSheetView>
    <customSheetView guid="{087EDDD0-D955-4A10-AEB2-58B45FFB9F46}" filter="1" showAutoFilter="1">
      <pageMargins left="0.511811024" right="0.511811024" top="0.78740157499999996" bottom="0.78740157499999996" header="0.31496062000000002" footer="0.31496062000000002"/>
      <autoFilter ref="A1:AN866" xr:uid="{76558DDB-E5AB-4D9D-A6AE-A6ED71E55B12}">
        <filterColumn colId="6">
          <filters blank="1"/>
        </filterColumn>
      </autoFilter>
    </customSheetView>
    <customSheetView guid="{14528097-6D5E-45E5-A988-73D13BE966AE}" filter="1" showAutoFilter="1">
      <pageMargins left="0.511811024" right="0.511811024" top="0.78740157499999996" bottom="0.78740157499999996" header="0.31496062000000002" footer="0.31496062000000002"/>
      <autoFilter ref="B2:AL871" xr:uid="{FED2BC78-506C-435D-9771-93988027FB2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F6A4A4C-C03D-44C0-A538-ECF9B327DA32}" filter="1" showAutoFilter="1">
      <pageMargins left="0.511811024" right="0.511811024" top="0.78740157499999996" bottom="0.78740157499999996" header="0.31496062000000002" footer="0.31496062000000002"/>
      <autoFilter ref="AJ2:AJ871" xr:uid="{B4CDF6F9-7F05-445C-BBF8-020B0615B8BA}"/>
    </customSheetView>
    <customSheetView guid="{A352A1A2-1501-46DF-9C13-63D624E4BB15}" filter="1" showAutoFilter="1">
      <pageMargins left="0.511811024" right="0.511811024" top="0.78740157499999996" bottom="0.78740157499999996" header="0.31496062000000002" footer="0.31496062000000002"/>
      <autoFilter ref="M2:O871" xr:uid="{51E6136E-7869-4252-9323-1107A6F7C59B}"/>
    </customSheetView>
    <customSheetView guid="{1901C315-A6F4-40C5-97AE-20FEA30D1998}" filter="1" showAutoFilter="1">
      <pageMargins left="0.511811024" right="0.511811024" top="0.78740157499999996" bottom="0.78740157499999996" header="0.31496062000000002" footer="0.31496062000000002"/>
      <autoFilter ref="K2:K871" xr:uid="{F6536338-8B57-4848-91B9-FAA1FBB672AE}"/>
    </customSheetView>
    <customSheetView guid="{A6F36D14-8173-4CC1-9BBA-DDBD7743FAAA}" filter="1" showAutoFilter="1">
      <pageMargins left="0.511811024" right="0.511811024" top="0.78740157499999996" bottom="0.78740157499999996" header="0.31496062000000002" footer="0.31496062000000002"/>
      <autoFilter ref="A1:AO870" xr:uid="{0A64FE87-C25B-49E3-9D5B-687710E5C62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621389-A432-45F2-B909-A7245C4F16C9}" filter="1" showAutoFilter="1">
      <pageMargins left="0.511811024" right="0.511811024" top="0.78740157499999996" bottom="0.78740157499999996" header="0.31496062000000002" footer="0.31496062000000002"/>
      <autoFilter ref="A1:AT862" xr:uid="{75D9B584-B477-474B-AB1B-E28CA40DB4D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3D159ED-31C6-4017-BE46-1B4BE7230613}" filter="1" showAutoFilter="1">
      <pageMargins left="0.511811024" right="0.511811024" top="0.78740157499999996" bottom="0.78740157499999996" header="0.31496062000000002" footer="0.31496062000000002"/>
      <autoFilter ref="A1:AN866" xr:uid="{2E1CAE68-9F4D-4C8D-AEDB-27EA64323D3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3FB3692-44FA-48F6-A6A3-5EA30732F04D}" filter="1" showAutoFilter="1">
      <pageMargins left="0.511811024" right="0.511811024" top="0.78740157499999996" bottom="0.78740157499999996" header="0.31496062000000002" footer="0.31496062000000002"/>
      <autoFilter ref="A2:AN866" xr:uid="{B0701074-C61E-470D-84BD-7F804BA2F267}"/>
    </customSheetView>
    <customSheetView guid="{48B6169D-1122-4967-AD24-766EB4659D8E}" filter="1" showAutoFilter="1">
      <pageMargins left="0.511811024" right="0.511811024" top="0.78740157499999996" bottom="0.78740157499999996" header="0.31496062000000002" footer="0.31496062000000002"/>
      <autoFilter ref="A2:AN866" xr:uid="{9C58841E-6440-4FA9-8E0A-1908065BC8E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EB0C5AD-DFBD-4FB9-94ED-9F9FB5DD6702}" filter="1" showAutoFilter="1">
      <pageMargins left="0.511811024" right="0.511811024" top="0.78740157499999996" bottom="0.78740157499999996" header="0.31496062000000002" footer="0.31496062000000002"/>
      <autoFilter ref="A1:AT862" xr:uid="{36718E88-2767-4461-9CE9-3BD3502853B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D3520F4-82B8-427F-AB69-ACA7DAE17185}" filter="1" showAutoFilter="1">
      <pageMargins left="0.511811024" right="0.511811024" top="0.78740157499999996" bottom="0.78740157499999996" header="0.31496062000000002" footer="0.31496062000000002"/>
      <autoFilter ref="A1:AR862" xr:uid="{1510888C-559C-44C0-B3FA-702CA3E7DEF4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1C0A67C-9350-4957-BB31-605313D3D89A}" filter="1" showAutoFilter="1">
      <pageMargins left="0.511811024" right="0.511811024" top="0.78740157499999996" bottom="0.78740157499999996" header="0.31496062000000002" footer="0.31496062000000002"/>
      <autoFilter ref="A1:AR862" xr:uid="{18076AA7-2EFA-4B7E-A022-5DA2C838BBD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E084CD-9740-4047-996C-D7D8EF14C074}" filter="1" showAutoFilter="1">
      <pageMargins left="0.511811024" right="0.511811024" top="0.78740157499999996" bottom="0.78740157499999996" header="0.31496062000000002" footer="0.31496062000000002"/>
      <autoFilter ref="A2:AQ862" xr:uid="{D0B56003-2FAF-4F37-BA07-4C7D26A3B7D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AFF1660-1290-4B84-BF91-178ED0AB7D93}" filter="1" showAutoFilter="1">
      <pageMargins left="0.511811024" right="0.511811024" top="0.78740157499999996" bottom="0.78740157499999996" header="0.31496062000000002" footer="0.31496062000000002"/>
      <autoFilter ref="A1:AR862" xr:uid="{4F897D20-2A28-4F2F-931B-271E39329AEB}"/>
    </customSheetView>
    <customSheetView guid="{1372FA21-B41A-4AFA-8E15-B6E16AD4F49A}" filter="1" showAutoFilter="1">
      <pageMargins left="0.511811024" right="0.511811024" top="0.78740157499999996" bottom="0.78740157499999996" header="0.31496062000000002" footer="0.31496062000000002"/>
      <autoFilter ref="AL2:AL871" xr:uid="{4025C049-C01F-467F-9039-EFFAD515BF84}"/>
    </customSheetView>
    <customSheetView guid="{2407A6C7-31DF-44B0-A8FB-FF699038E3C6}" filter="1" showAutoFilter="1">
      <pageMargins left="0.511811024" right="0.511811024" top="0.78740157499999996" bottom="0.78740157499999996" header="0.31496062000000002" footer="0.31496062000000002"/>
      <autoFilter ref="A2:AT862" xr:uid="{A709514C-B8F2-4814-8824-52D4242E40E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5AFBB65-2A8A-4F75-8E78-9B85B0D5EECC}" filter="1" showAutoFilter="1">
      <pageMargins left="0.511811024" right="0.511811024" top="0.78740157499999996" bottom="0.78740157499999996" header="0.31496062000000002" footer="0.31496062000000002"/>
      <autoFilter ref="B2:AI866" xr:uid="{E98E19D5-DB3E-4E79-ADA2-6F49B6472C02}"/>
    </customSheetView>
    <customSheetView guid="{B32F995C-45FB-4FD6-B801-5C152D4F8297}" filter="1" showAutoFilter="1">
      <pageMargins left="0.511811024" right="0.511811024" top="0.78740157499999996" bottom="0.78740157499999996" header="0.31496062000000002" footer="0.31496062000000002"/>
      <autoFilter ref="A1:AR862" xr:uid="{D37B9913-1189-4F5D-9253-F2BE45D171F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273C0E8-30B6-4D07-8902-8E93E444CC3F}" filter="1" showAutoFilter="1">
      <pageMargins left="0.511811024" right="0.511811024" top="0.78740157499999996" bottom="0.78740157499999996" header="0.31496062000000002" footer="0.31496062000000002"/>
      <autoFilter ref="A1:AN866" xr:uid="{D9967531-EA13-4126-B284-C8D30ED173EC}"/>
    </customSheetView>
    <customSheetView guid="{E6172B59-BEF4-4677-8478-A0A52BEBCB31}" filter="1" showAutoFilter="1">
      <pageMargins left="0.511811024" right="0.511811024" top="0.78740157499999996" bottom="0.78740157499999996" header="0.31496062000000002" footer="0.31496062000000002"/>
      <autoFilter ref="A1:AT862" xr:uid="{AD7D2F6B-4DCA-4C1E-850A-06F336826BE5}">
        <filterColumn colId="7">
          <filters>
            <filter val="Pode Operar"/>
          </filters>
        </filterColumn>
      </autoFilter>
    </customSheetView>
    <customSheetView guid="{20CA8F9B-4278-405F-AFBC-C3C50178C888}" filter="1" showAutoFilter="1">
      <pageMargins left="0.511811024" right="0.511811024" top="0.78740157499999996" bottom="0.78740157499999996" header="0.31496062000000002" footer="0.31496062000000002"/>
      <autoFilter ref="A1:AN866" xr:uid="{CCA63216-1100-49A2-8532-CF4CB6C15B9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EB61E02-ACD8-4BDA-9738-B2CE66CCD218}" filter="1" showAutoFilter="1">
      <pageMargins left="0.511811024" right="0.511811024" top="0.78740157499999996" bottom="0.78740157499999996" header="0.31496062000000002" footer="0.31496062000000002"/>
      <autoFilter ref="A1:AO866" xr:uid="{6D378420-4C47-41E5-B446-7F3FA0A3714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B13DC17-4543-4231-9102-95C3CA931642}" filter="1" showAutoFilter="1">
      <pageMargins left="0.511811024" right="0.511811024" top="0.78740157499999996" bottom="0.78740157499999996" header="0.31496062000000002" footer="0.31496062000000002"/>
      <autoFilter ref="A1:AT862" xr:uid="{629CB21C-7F58-46EE-A4EC-27F40BCD1CC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57996C7-DC52-4A75-BB28-4A4F1C040F40}" filter="1" showAutoFilter="1">
      <pageMargins left="0.511811024" right="0.511811024" top="0.78740157499999996" bottom="0.78740157499999996" header="0.31496062000000002" footer="0.31496062000000002"/>
      <autoFilter ref="A1:BA866" xr:uid="{574588D8-5B75-4981-9F0D-29A08ED5899B}"/>
    </customSheetView>
    <customSheetView guid="{94B98A82-C710-4A2B-BD7C-8FF3DF446EFB}" filter="1" showAutoFilter="1">
      <pageMargins left="0.511811024" right="0.511811024" top="0.78740157499999996" bottom="0.78740157499999996" header="0.31496062000000002" footer="0.31496062000000002"/>
      <autoFilter ref="A1:AS862" xr:uid="{9716996C-39D4-4AE1-82A2-E0EC28B853A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1B4EAA0-B545-45DD-97C2-85BEC594BD66}" filter="1" showAutoFilter="1">
      <pageMargins left="0.511811024" right="0.511811024" top="0.78740157499999996" bottom="0.78740157499999996" header="0.31496062000000002" footer="0.31496062000000002"/>
      <autoFilter ref="D2:F871" xr:uid="{544B5778-0B88-45FE-945D-E9660959BAF9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7" t="s">
        <v>2890</v>
      </c>
      <c r="B1" s="648"/>
      <c r="C1" s="648"/>
      <c r="D1" s="648"/>
      <c r="E1" s="648"/>
      <c r="F1" s="649"/>
      <c r="G1" s="227" t="s">
        <v>75</v>
      </c>
      <c r="H1" s="650" t="s">
        <v>76</v>
      </c>
      <c r="I1" s="649"/>
      <c r="J1" s="647" t="s">
        <v>2890</v>
      </c>
      <c r="K1" s="648"/>
      <c r="L1" s="648"/>
      <c r="M1" s="648"/>
      <c r="N1" s="648"/>
      <c r="O1" s="648"/>
      <c r="P1" s="649"/>
      <c r="Q1" s="228" t="s">
        <v>2891</v>
      </c>
      <c r="R1" s="229" t="s">
        <v>2890</v>
      </c>
      <c r="S1" s="651" t="s">
        <v>77</v>
      </c>
      <c r="T1" s="648"/>
      <c r="U1" s="648"/>
      <c r="V1" s="648"/>
      <c r="W1" s="648"/>
      <c r="X1" s="648"/>
      <c r="Y1" s="648"/>
      <c r="Z1" s="648"/>
      <c r="AA1" s="648"/>
      <c r="AB1" s="649"/>
      <c r="AC1" s="230" t="s">
        <v>78</v>
      </c>
      <c r="AD1" s="230" t="s">
        <v>78</v>
      </c>
      <c r="AE1" s="230" t="s">
        <v>78</v>
      </c>
      <c r="AF1" s="230" t="s">
        <v>78</v>
      </c>
      <c r="AG1" s="230" t="s">
        <v>78</v>
      </c>
      <c r="AH1" s="230" t="s">
        <v>78</v>
      </c>
      <c r="AI1" s="230" t="s">
        <v>78</v>
      </c>
      <c r="AJ1" s="230" t="s">
        <v>78</v>
      </c>
      <c r="AK1" s="230" t="s">
        <v>78</v>
      </c>
      <c r="AL1" s="230" t="s">
        <v>78</v>
      </c>
      <c r="AM1" s="230" t="s">
        <v>78</v>
      </c>
      <c r="AN1" s="230" t="s">
        <v>78</v>
      </c>
      <c r="AO1" s="230" t="s">
        <v>78</v>
      </c>
      <c r="AP1" s="230" t="s">
        <v>78</v>
      </c>
      <c r="AQ1" s="230" t="s">
        <v>78</v>
      </c>
      <c r="AR1" s="230" t="s">
        <v>78</v>
      </c>
      <c r="AS1" s="230" t="s">
        <v>78</v>
      </c>
      <c r="AT1" s="230" t="s">
        <v>78</v>
      </c>
      <c r="AU1" s="230" t="s">
        <v>78</v>
      </c>
      <c r="AV1" s="230" t="s">
        <v>78</v>
      </c>
      <c r="AW1" s="230" t="s">
        <v>78</v>
      </c>
      <c r="AX1" s="230" t="s">
        <v>78</v>
      </c>
      <c r="AY1" s="230" t="s">
        <v>78</v>
      </c>
      <c r="AZ1" s="230" t="s">
        <v>78</v>
      </c>
      <c r="BA1" s="230" t="s">
        <v>78</v>
      </c>
      <c r="BB1" s="230" t="s">
        <v>78</v>
      </c>
      <c r="BC1" s="230" t="s">
        <v>78</v>
      </c>
      <c r="BD1" s="230" t="s">
        <v>78</v>
      </c>
      <c r="BE1" s="230" t="s">
        <v>78</v>
      </c>
      <c r="BF1" s="230" t="s">
        <v>78</v>
      </c>
      <c r="BG1" s="230" t="s">
        <v>78</v>
      </c>
      <c r="BH1" s="230" t="s">
        <v>78</v>
      </c>
      <c r="BI1" s="230" t="s">
        <v>78</v>
      </c>
      <c r="BJ1" s="230" t="s">
        <v>78</v>
      </c>
      <c r="BK1" s="230" t="s">
        <v>78</v>
      </c>
      <c r="BL1" s="230" t="s">
        <v>78</v>
      </c>
      <c r="BM1" s="230" t="s">
        <v>78</v>
      </c>
      <c r="BN1" s="230" t="s">
        <v>78</v>
      </c>
      <c r="BO1" s="230" t="s">
        <v>78</v>
      </c>
      <c r="BP1" s="230" t="s">
        <v>78</v>
      </c>
      <c r="BQ1" s="230" t="s">
        <v>78</v>
      </c>
      <c r="BR1" s="230" t="s">
        <v>78</v>
      </c>
      <c r="BS1" s="230" t="s">
        <v>78</v>
      </c>
      <c r="BT1" s="230" t="s">
        <v>78</v>
      </c>
      <c r="BU1" s="230" t="s">
        <v>78</v>
      </c>
      <c r="BV1" s="230" t="s">
        <v>78</v>
      </c>
      <c r="BW1" s="230" t="s">
        <v>78</v>
      </c>
      <c r="BX1" s="230" t="s">
        <v>78</v>
      </c>
      <c r="BY1" s="230" t="s">
        <v>78</v>
      </c>
      <c r="BZ1" s="230" t="s">
        <v>78</v>
      </c>
      <c r="CA1" s="230" t="s">
        <v>78</v>
      </c>
      <c r="CB1" s="230" t="s">
        <v>78</v>
      </c>
      <c r="CC1" s="230" t="s">
        <v>78</v>
      </c>
      <c r="CD1" s="230" t="s">
        <v>78</v>
      </c>
      <c r="CE1" s="230" t="s">
        <v>78</v>
      </c>
      <c r="CF1" s="230" t="s">
        <v>78</v>
      </c>
      <c r="CG1" s="230" t="s">
        <v>78</v>
      </c>
      <c r="CH1" s="230" t="s">
        <v>78</v>
      </c>
      <c r="CI1" s="230" t="s">
        <v>78</v>
      </c>
      <c r="CJ1" s="230" t="s">
        <v>78</v>
      </c>
    </row>
    <row r="2" spans="1:8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2892</v>
      </c>
      <c r="AD2" s="20" t="s">
        <v>2893</v>
      </c>
      <c r="AE2" s="20" t="s">
        <v>2894</v>
      </c>
      <c r="AF2" s="20" t="s">
        <v>2895</v>
      </c>
      <c r="AG2" s="20" t="s">
        <v>2896</v>
      </c>
      <c r="AH2" s="20" t="s">
        <v>2897</v>
      </c>
      <c r="AI2" s="20" t="s">
        <v>2898</v>
      </c>
      <c r="AJ2" s="20" t="s">
        <v>2899</v>
      </c>
      <c r="AK2" s="20" t="s">
        <v>2900</v>
      </c>
      <c r="AL2" s="20" t="s">
        <v>2901</v>
      </c>
      <c r="AM2" s="20" t="s">
        <v>2902</v>
      </c>
      <c r="AN2" s="20" t="s">
        <v>2903</v>
      </c>
      <c r="AO2" s="20" t="s">
        <v>2904</v>
      </c>
      <c r="AP2" s="20" t="s">
        <v>2905</v>
      </c>
      <c r="AQ2" s="20" t="s">
        <v>2906</v>
      </c>
      <c r="AR2" s="20" t="s">
        <v>2907</v>
      </c>
      <c r="AS2" s="20" t="s">
        <v>2908</v>
      </c>
      <c r="AT2" s="20" t="s">
        <v>2909</v>
      </c>
      <c r="AU2" s="20" t="s">
        <v>2910</v>
      </c>
      <c r="AV2" s="20" t="s">
        <v>2911</v>
      </c>
      <c r="AW2" s="20" t="s">
        <v>2912</v>
      </c>
      <c r="AX2" s="20" t="s">
        <v>2913</v>
      </c>
      <c r="AY2" s="20" t="s">
        <v>2914</v>
      </c>
      <c r="AZ2" s="20" t="s">
        <v>2915</v>
      </c>
      <c r="BA2" s="20" t="s">
        <v>2916</v>
      </c>
      <c r="BB2" s="20" t="s">
        <v>2917</v>
      </c>
      <c r="BC2" s="20" t="s">
        <v>2918</v>
      </c>
      <c r="BD2" s="20" t="s">
        <v>2919</v>
      </c>
      <c r="BE2" s="20" t="s">
        <v>2920</v>
      </c>
      <c r="BF2" s="20" t="s">
        <v>2921</v>
      </c>
      <c r="BG2" s="20" t="s">
        <v>2922</v>
      </c>
      <c r="BH2" s="20" t="s">
        <v>2923</v>
      </c>
      <c r="BI2" s="20" t="s">
        <v>2924</v>
      </c>
      <c r="BJ2" s="20" t="s">
        <v>2925</v>
      </c>
      <c r="BK2" s="20" t="s">
        <v>2926</v>
      </c>
      <c r="BL2" s="20" t="s">
        <v>97</v>
      </c>
      <c r="BM2" s="20" t="s">
        <v>98</v>
      </c>
      <c r="BN2" s="20" t="s">
        <v>2927</v>
      </c>
      <c r="BO2" s="20" t="s">
        <v>100</v>
      </c>
      <c r="BP2" s="20" t="s">
        <v>101</v>
      </c>
      <c r="BQ2" s="20" t="s">
        <v>102</v>
      </c>
      <c r="BR2" s="20" t="s">
        <v>103</v>
      </c>
      <c r="BS2" s="20" t="s">
        <v>104</v>
      </c>
      <c r="BT2" s="20" t="s">
        <v>105</v>
      </c>
      <c r="BU2" s="20" t="s">
        <v>106</v>
      </c>
      <c r="BV2" s="20" t="s">
        <v>107</v>
      </c>
      <c r="BW2" s="20" t="s">
        <v>108</v>
      </c>
      <c r="BX2" s="20" t="s">
        <v>109</v>
      </c>
      <c r="BY2" s="20" t="s">
        <v>110</v>
      </c>
      <c r="BZ2" s="20" t="s">
        <v>111</v>
      </c>
      <c r="CA2" s="20" t="s">
        <v>112</v>
      </c>
      <c r="CB2" s="20" t="s">
        <v>113</v>
      </c>
      <c r="CC2" s="20" t="s">
        <v>114</v>
      </c>
      <c r="CD2" s="231" t="s">
        <v>115</v>
      </c>
      <c r="CE2" s="231" t="s">
        <v>116</v>
      </c>
      <c r="CF2" s="231" t="s">
        <v>117</v>
      </c>
      <c r="CG2" s="231" t="s">
        <v>118</v>
      </c>
      <c r="CH2" s="231" t="s">
        <v>119</v>
      </c>
      <c r="CI2" s="231" t="s">
        <v>120</v>
      </c>
      <c r="CJ2" s="231" t="s">
        <v>2928</v>
      </c>
    </row>
    <row r="3" spans="1:88" ht="15.75" customHeight="1">
      <c r="A3" s="36" t="s">
        <v>2929</v>
      </c>
      <c r="B3" s="36" t="s">
        <v>2930</v>
      </c>
      <c r="C3" s="9">
        <v>579904</v>
      </c>
      <c r="D3" s="9" t="s">
        <v>2931</v>
      </c>
      <c r="E3" s="9" t="s">
        <v>20</v>
      </c>
      <c r="F3" s="9" t="s">
        <v>2932</v>
      </c>
      <c r="G3" s="7" t="e">
        <f t="shared" ref="G3:G257" ca="1" si="0">_xludf.IFS($CJ$3:$CJ$678&lt;=200000,"Breno",$CJ$3:$CJ$678&lt;=20000000000,"Bruno",$CJ$3:$CJ$678="","")</f>
        <v>#NAME?</v>
      </c>
      <c r="H3" s="8" t="s">
        <v>145</v>
      </c>
      <c r="I3" s="24" t="s">
        <v>146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2933</v>
      </c>
      <c r="S3" s="7" t="s">
        <v>127</v>
      </c>
      <c r="T3" s="9" t="s">
        <v>2934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2929</v>
      </c>
      <c r="B4" s="3" t="s">
        <v>2935</v>
      </c>
      <c r="C4" s="9">
        <v>36881</v>
      </c>
      <c r="D4" s="9" t="s">
        <v>19</v>
      </c>
      <c r="E4" s="9" t="s">
        <v>35</v>
      </c>
      <c r="F4" s="9" t="s">
        <v>250</v>
      </c>
      <c r="G4" s="7" t="e">
        <f t="shared" ca="1" si="0"/>
        <v>#NAME?</v>
      </c>
      <c r="H4" s="8" t="s">
        <v>145</v>
      </c>
      <c r="I4" s="24" t="s">
        <v>146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921</v>
      </c>
      <c r="S4" s="7" t="s">
        <v>127</v>
      </c>
      <c r="T4" s="6" t="s">
        <v>2936</v>
      </c>
      <c r="U4" s="6" t="s">
        <v>202</v>
      </c>
      <c r="V4" s="24" t="e">
        <f t="shared" ca="1" si="2"/>
        <v>#NAME?</v>
      </c>
      <c r="W4" s="24"/>
      <c r="X4" s="24"/>
      <c r="Y4" s="6" t="s">
        <v>240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2929</v>
      </c>
      <c r="B5" s="3" t="s">
        <v>2937</v>
      </c>
      <c r="C5" s="9">
        <v>448162</v>
      </c>
      <c r="D5" s="9" t="s">
        <v>2931</v>
      </c>
      <c r="E5" s="9" t="s">
        <v>20</v>
      </c>
      <c r="F5" s="6" t="s">
        <v>2938</v>
      </c>
      <c r="G5" s="7" t="e">
        <f t="shared" ca="1" si="0"/>
        <v>#NAME?</v>
      </c>
      <c r="H5" s="8" t="s">
        <v>125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185</v>
      </c>
      <c r="N5" s="10">
        <v>1.2E-2</v>
      </c>
      <c r="O5" s="9" t="s">
        <v>39</v>
      </c>
      <c r="P5" s="234">
        <v>0.1</v>
      </c>
      <c r="Q5" s="23"/>
      <c r="R5" s="45"/>
      <c r="S5" s="7" t="s">
        <v>127</v>
      </c>
      <c r="T5" s="6" t="s">
        <v>2939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2940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2929</v>
      </c>
      <c r="B6" s="3" t="s">
        <v>2941</v>
      </c>
      <c r="C6" s="9">
        <v>34899</v>
      </c>
      <c r="D6" s="9" t="s">
        <v>19</v>
      </c>
      <c r="E6" s="9" t="s">
        <v>35</v>
      </c>
      <c r="F6" s="9" t="s">
        <v>250</v>
      </c>
      <c r="G6" s="7" t="e">
        <f t="shared" ca="1" si="0"/>
        <v>#NAME?</v>
      </c>
      <c r="H6" s="8" t="s">
        <v>145</v>
      </c>
      <c r="I6" s="24" t="s">
        <v>146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2942</v>
      </c>
      <c r="S6" s="7" t="s">
        <v>127</v>
      </c>
      <c r="T6" s="6" t="s">
        <v>2943</v>
      </c>
      <c r="U6" s="6" t="s">
        <v>202</v>
      </c>
      <c r="V6" s="24" t="e">
        <f t="shared" ca="1" si="2"/>
        <v>#NAME?</v>
      </c>
      <c r="W6" s="24"/>
      <c r="X6" s="24"/>
      <c r="Y6" s="6" t="s">
        <v>129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2929</v>
      </c>
      <c r="B7" s="36" t="s">
        <v>2944</v>
      </c>
      <c r="C7" s="9">
        <v>439947</v>
      </c>
      <c r="D7" s="9" t="s">
        <v>2931</v>
      </c>
      <c r="E7" s="9" t="s">
        <v>20</v>
      </c>
      <c r="F7" s="9" t="s">
        <v>2938</v>
      </c>
      <c r="G7" s="7" t="e">
        <f t="shared" ca="1" si="0"/>
        <v>#NAME?</v>
      </c>
      <c r="H7" s="8" t="s">
        <v>145</v>
      </c>
      <c r="I7" s="24" t="s">
        <v>146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2945</v>
      </c>
      <c r="S7" s="7" t="s">
        <v>127</v>
      </c>
      <c r="T7" s="9" t="s">
        <v>2946</v>
      </c>
      <c r="U7" s="6" t="s">
        <v>20</v>
      </c>
      <c r="V7" s="24" t="e">
        <f t="shared" ca="1" si="2"/>
        <v>#NAME?</v>
      </c>
      <c r="W7" s="24"/>
      <c r="X7" s="24"/>
      <c r="Y7" s="6" t="s">
        <v>240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2929</v>
      </c>
      <c r="B8" s="3" t="s">
        <v>2947</v>
      </c>
      <c r="C8" s="9">
        <v>442725</v>
      </c>
      <c r="D8" s="9" t="s">
        <v>19</v>
      </c>
      <c r="E8" s="9" t="s">
        <v>20</v>
      </c>
      <c r="F8" s="9" t="s">
        <v>195</v>
      </c>
      <c r="G8" s="7" t="e">
        <f t="shared" ca="1" si="0"/>
        <v>#NAME?</v>
      </c>
      <c r="H8" s="8" t="s">
        <v>134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2948</v>
      </c>
      <c r="S8" s="7" t="s">
        <v>127</v>
      </c>
      <c r="T8" s="6" t="s">
        <v>2949</v>
      </c>
      <c r="U8" s="6" t="s">
        <v>20</v>
      </c>
      <c r="V8" s="24" t="e">
        <f t="shared" ca="1" si="2"/>
        <v>#NAME?</v>
      </c>
      <c r="W8" s="24"/>
      <c r="X8" s="24"/>
      <c r="Y8" s="6" t="s">
        <v>240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2929</v>
      </c>
      <c r="B9" s="3" t="s">
        <v>182</v>
      </c>
      <c r="C9" s="9">
        <v>462138</v>
      </c>
      <c r="D9" s="9" t="s">
        <v>19</v>
      </c>
      <c r="E9" s="9" t="s">
        <v>20</v>
      </c>
      <c r="F9" s="6" t="s">
        <v>2518</v>
      </c>
      <c r="G9" s="7" t="e">
        <f t="shared" ca="1" si="0"/>
        <v>#NAME?</v>
      </c>
      <c r="H9" s="8" t="s">
        <v>125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185</v>
      </c>
      <c r="N9" s="10">
        <v>1.4999999999999999E-2</v>
      </c>
      <c r="O9" s="9" t="s">
        <v>39</v>
      </c>
      <c r="P9" s="234">
        <v>0.1</v>
      </c>
      <c r="Q9" s="45"/>
      <c r="R9" s="108" t="s">
        <v>2950</v>
      </c>
      <c r="S9" s="7" t="s">
        <v>127</v>
      </c>
      <c r="T9" s="6" t="s">
        <v>186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2940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2929</v>
      </c>
      <c r="B10" s="3" t="s">
        <v>2951</v>
      </c>
      <c r="C10" s="9">
        <v>438486</v>
      </c>
      <c r="D10" s="9" t="s">
        <v>2931</v>
      </c>
      <c r="E10" s="9" t="s">
        <v>20</v>
      </c>
      <c r="F10" s="6" t="s">
        <v>2932</v>
      </c>
      <c r="G10" s="7" t="e">
        <f t="shared" ca="1" si="0"/>
        <v>#NAME?</v>
      </c>
      <c r="H10" s="8" t="s">
        <v>125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185</v>
      </c>
      <c r="N10" s="10">
        <v>0.01</v>
      </c>
      <c r="O10" s="9" t="s">
        <v>39</v>
      </c>
      <c r="P10" s="234">
        <v>0.1</v>
      </c>
      <c r="Q10" s="45"/>
      <c r="R10" s="108" t="s">
        <v>2952</v>
      </c>
      <c r="S10" s="7" t="s">
        <v>127</v>
      </c>
      <c r="T10" s="6" t="s">
        <v>2953</v>
      </c>
      <c r="U10" s="6" t="s">
        <v>20</v>
      </c>
      <c r="V10" s="24" t="e">
        <f t="shared" ca="1" si="2"/>
        <v>#NAME?</v>
      </c>
      <c r="W10" s="24"/>
      <c r="X10" s="24"/>
      <c r="Y10" s="6" t="s">
        <v>240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2940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2929</v>
      </c>
      <c r="B11" s="36" t="s">
        <v>2954</v>
      </c>
      <c r="C11" s="9">
        <v>421731</v>
      </c>
      <c r="D11" s="9" t="s">
        <v>19</v>
      </c>
      <c r="E11" s="9" t="s">
        <v>20</v>
      </c>
      <c r="F11" s="9" t="s">
        <v>195</v>
      </c>
      <c r="G11" s="7" t="e">
        <f t="shared" ca="1" si="0"/>
        <v>#NAME?</v>
      </c>
      <c r="H11" s="8" t="s">
        <v>145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185</v>
      </c>
      <c r="N11" s="233">
        <v>0.01</v>
      </c>
      <c r="O11" s="9" t="s">
        <v>39</v>
      </c>
      <c r="P11" s="234">
        <v>0.1</v>
      </c>
      <c r="Q11" s="242" t="s">
        <v>2955</v>
      </c>
      <c r="R11" s="108" t="s">
        <v>2948</v>
      </c>
      <c r="S11" s="7" t="s">
        <v>127</v>
      </c>
      <c r="T11" s="9" t="s">
        <v>2956</v>
      </c>
      <c r="U11" s="6" t="s">
        <v>20</v>
      </c>
      <c r="V11" s="24" t="e">
        <f t="shared" ca="1" si="2"/>
        <v>#NAME?</v>
      </c>
      <c r="W11" s="24"/>
      <c r="X11" s="24"/>
      <c r="Y11" s="6" t="s">
        <v>240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2929</v>
      </c>
      <c r="B12" s="37" t="s">
        <v>2957</v>
      </c>
      <c r="C12" s="9">
        <v>421537</v>
      </c>
      <c r="D12" s="9" t="s">
        <v>2931</v>
      </c>
      <c r="E12" s="9" t="s">
        <v>20</v>
      </c>
      <c r="F12" s="6" t="s">
        <v>2938</v>
      </c>
      <c r="G12" s="7" t="e">
        <f t="shared" ca="1" si="0"/>
        <v>#NAME?</v>
      </c>
      <c r="H12" s="8" t="s">
        <v>125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2958</v>
      </c>
      <c r="S12" s="7" t="s">
        <v>127</v>
      </c>
      <c r="T12" s="6" t="s">
        <v>2959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2940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2929</v>
      </c>
      <c r="B13" s="3" t="s">
        <v>2960</v>
      </c>
      <c r="C13" s="9">
        <v>326344</v>
      </c>
      <c r="D13" s="9" t="s">
        <v>2931</v>
      </c>
      <c r="E13" s="9" t="s">
        <v>20</v>
      </c>
      <c r="F13" s="6" t="s">
        <v>2932</v>
      </c>
      <c r="G13" s="7" t="e">
        <f t="shared" ca="1" si="0"/>
        <v>#NAME?</v>
      </c>
      <c r="H13" s="8" t="s">
        <v>125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185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127</v>
      </c>
      <c r="T13" s="6" t="s">
        <v>2961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2940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2929</v>
      </c>
      <c r="B14" s="3" t="s">
        <v>2962</v>
      </c>
      <c r="C14" s="9">
        <v>376503</v>
      </c>
      <c r="D14" s="9" t="s">
        <v>19</v>
      </c>
      <c r="E14" s="9" t="s">
        <v>20</v>
      </c>
      <c r="F14" s="9" t="s">
        <v>2963</v>
      </c>
      <c r="G14" s="7" t="e">
        <f t="shared" ca="1" si="0"/>
        <v>#NAME?</v>
      </c>
      <c r="H14" s="8" t="s">
        <v>134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127</v>
      </c>
      <c r="T14" s="6" t="s">
        <v>2964</v>
      </c>
      <c r="U14" s="6" t="s">
        <v>20</v>
      </c>
      <c r="V14" s="24" t="e">
        <f t="shared" ca="1" si="2"/>
        <v>#NAME?</v>
      </c>
      <c r="W14" s="24"/>
      <c r="X14" s="24"/>
      <c r="Y14" s="6" t="s">
        <v>240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2929</v>
      </c>
      <c r="B15" s="3" t="s">
        <v>2962</v>
      </c>
      <c r="C15" s="9">
        <v>376732</v>
      </c>
      <c r="D15" s="9" t="s">
        <v>19</v>
      </c>
      <c r="E15" s="9" t="s">
        <v>20</v>
      </c>
      <c r="F15" s="9" t="s">
        <v>2963</v>
      </c>
      <c r="G15" s="7" t="e">
        <f t="shared" ca="1" si="0"/>
        <v>#NAME?</v>
      </c>
      <c r="H15" s="8" t="s">
        <v>134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242</v>
      </c>
      <c r="N15" s="10">
        <v>2.5000000000000001E-2</v>
      </c>
      <c r="O15" s="9" t="s">
        <v>167</v>
      </c>
      <c r="P15" s="234">
        <v>0.2</v>
      </c>
      <c r="Q15" s="28"/>
      <c r="R15" s="28"/>
      <c r="S15" s="7" t="s">
        <v>127</v>
      </c>
      <c r="T15" s="202" t="s">
        <v>2964</v>
      </c>
      <c r="U15" s="6" t="s">
        <v>20</v>
      </c>
      <c r="V15" s="24" t="e">
        <f t="shared" ca="1" si="2"/>
        <v>#NAME?</v>
      </c>
      <c r="W15" s="24"/>
      <c r="X15" s="24"/>
      <c r="Y15" s="6" t="s">
        <v>240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2929</v>
      </c>
      <c r="B16" s="3" t="s">
        <v>227</v>
      </c>
      <c r="C16" s="9">
        <v>420111</v>
      </c>
      <c r="D16" s="9" t="s">
        <v>19</v>
      </c>
      <c r="E16" s="9" t="s">
        <v>35</v>
      </c>
      <c r="F16" s="9" t="s">
        <v>199</v>
      </c>
      <c r="G16" s="7" t="e">
        <f t="shared" ca="1" si="0"/>
        <v>#NAME?</v>
      </c>
      <c r="H16" s="8" t="s">
        <v>134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185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127</v>
      </c>
      <c r="T16" s="6" t="s">
        <v>231</v>
      </c>
      <c r="U16" s="6" t="s">
        <v>202</v>
      </c>
      <c r="V16" s="24" t="e">
        <f t="shared" ca="1" si="2"/>
        <v>#NAME?</v>
      </c>
      <c r="W16" s="24"/>
      <c r="X16" s="24"/>
      <c r="Y16" s="6" t="s">
        <v>240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2929</v>
      </c>
      <c r="B17" s="3" t="s">
        <v>2965</v>
      </c>
      <c r="C17" s="9">
        <v>47785</v>
      </c>
      <c r="D17" s="9" t="s">
        <v>2931</v>
      </c>
      <c r="E17" s="9" t="s">
        <v>20</v>
      </c>
      <c r="F17" s="9" t="s">
        <v>2938</v>
      </c>
      <c r="G17" s="7" t="e">
        <f t="shared" ca="1" si="0"/>
        <v>#NAME?</v>
      </c>
      <c r="H17" s="8" t="s">
        <v>145</v>
      </c>
      <c r="I17" s="24" t="s">
        <v>146</v>
      </c>
      <c r="J17" s="9" t="str">
        <f t="shared" si="1"/>
        <v>Não</v>
      </c>
      <c r="K17" s="232">
        <v>44186</v>
      </c>
      <c r="L17" s="6"/>
      <c r="M17" s="6" t="s">
        <v>185</v>
      </c>
      <c r="N17" s="10">
        <v>1.4999999999999999E-2</v>
      </c>
      <c r="O17" s="9" t="s">
        <v>39</v>
      </c>
      <c r="P17" s="234">
        <v>0.1</v>
      </c>
      <c r="Q17" s="28"/>
      <c r="R17" s="28" t="s">
        <v>2966</v>
      </c>
      <c r="S17" s="7" t="s">
        <v>127</v>
      </c>
      <c r="T17" s="6" t="s">
        <v>2967</v>
      </c>
      <c r="U17" s="6" t="s">
        <v>20</v>
      </c>
      <c r="V17" s="24" t="e">
        <f t="shared" ca="1" si="2"/>
        <v>#NAME?</v>
      </c>
      <c r="W17" s="24"/>
      <c r="X17" s="24"/>
      <c r="Y17" s="6" t="s">
        <v>240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2929</v>
      </c>
      <c r="B18" s="106" t="s">
        <v>248</v>
      </c>
      <c r="C18" s="9">
        <v>49819</v>
      </c>
      <c r="D18" s="9" t="s">
        <v>19</v>
      </c>
      <c r="E18" s="9" t="s">
        <v>35</v>
      </c>
      <c r="F18" s="6" t="s">
        <v>250</v>
      </c>
      <c r="G18" s="7" t="e">
        <f t="shared" ca="1" si="0"/>
        <v>#NAME?</v>
      </c>
      <c r="H18" s="8" t="s">
        <v>145</v>
      </c>
      <c r="I18" s="24" t="s">
        <v>146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127</v>
      </c>
      <c r="T18" s="9" t="s">
        <v>252</v>
      </c>
      <c r="U18" s="7" t="s">
        <v>202</v>
      </c>
      <c r="V18" s="24" t="e">
        <f t="shared" ca="1" si="2"/>
        <v>#NAME?</v>
      </c>
      <c r="W18" s="24"/>
      <c r="X18" s="24"/>
      <c r="Y18" s="6" t="s">
        <v>129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2929</v>
      </c>
      <c r="B19" s="106" t="s">
        <v>2968</v>
      </c>
      <c r="C19" s="9">
        <v>627411</v>
      </c>
      <c r="D19" s="9" t="s">
        <v>19</v>
      </c>
      <c r="E19" s="9" t="s">
        <v>20</v>
      </c>
      <c r="F19" s="7" t="s">
        <v>184</v>
      </c>
      <c r="G19" s="7" t="e">
        <f t="shared" ca="1" si="0"/>
        <v>#NAME?</v>
      </c>
      <c r="H19" s="8" t="s">
        <v>125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2969</v>
      </c>
      <c r="S19" s="7" t="s">
        <v>127</v>
      </c>
      <c r="T19" s="9" t="s">
        <v>2970</v>
      </c>
      <c r="U19" s="7" t="s">
        <v>48</v>
      </c>
      <c r="V19" s="24" t="e">
        <f t="shared" ca="1" si="2"/>
        <v>#NAME?</v>
      </c>
      <c r="W19" s="24"/>
      <c r="X19" s="24"/>
      <c r="Y19" s="6" t="s">
        <v>240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2929</v>
      </c>
      <c r="B20" s="37" t="s">
        <v>2971</v>
      </c>
      <c r="C20" s="9">
        <v>430193</v>
      </c>
      <c r="D20" s="9" t="s">
        <v>2931</v>
      </c>
      <c r="E20" s="9" t="s">
        <v>20</v>
      </c>
      <c r="F20" s="6" t="s">
        <v>2932</v>
      </c>
      <c r="G20" s="7" t="e">
        <f t="shared" ca="1" si="0"/>
        <v>#NAME?</v>
      </c>
      <c r="H20" s="8" t="s">
        <v>125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185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127</v>
      </c>
      <c r="T20" s="6" t="s">
        <v>2972</v>
      </c>
      <c r="U20" s="6" t="s">
        <v>20</v>
      </c>
      <c r="V20" s="24" t="e">
        <f t="shared" ca="1" si="2"/>
        <v>#NAME?</v>
      </c>
      <c r="W20" s="24"/>
      <c r="X20" s="24"/>
      <c r="Y20" s="6" t="s">
        <v>240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2940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2929</v>
      </c>
      <c r="B21" s="37" t="s">
        <v>2973</v>
      </c>
      <c r="C21" s="9">
        <v>379151</v>
      </c>
      <c r="D21" s="9" t="s">
        <v>19</v>
      </c>
      <c r="E21" s="9" t="s">
        <v>20</v>
      </c>
      <c r="F21" s="6" t="s">
        <v>184</v>
      </c>
      <c r="G21" s="7" t="e">
        <f t="shared" ca="1" si="0"/>
        <v>#NAME?</v>
      </c>
      <c r="H21" s="8" t="s">
        <v>134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127</v>
      </c>
      <c r="T21" s="6" t="s">
        <v>2974</v>
      </c>
      <c r="U21" s="6" t="s">
        <v>20</v>
      </c>
      <c r="V21" s="24" t="e">
        <f t="shared" ca="1" si="2"/>
        <v>#NAME?</v>
      </c>
      <c r="W21" s="24"/>
      <c r="X21" s="24"/>
      <c r="Y21" s="6" t="s">
        <v>240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2929</v>
      </c>
      <c r="B22" s="37" t="s">
        <v>2975</v>
      </c>
      <c r="C22" s="9">
        <v>253852</v>
      </c>
      <c r="D22" s="9" t="s">
        <v>19</v>
      </c>
      <c r="E22" s="9" t="s">
        <v>35</v>
      </c>
      <c r="F22" s="6" t="s">
        <v>199</v>
      </c>
      <c r="G22" s="7" t="e">
        <f t="shared" ca="1" si="0"/>
        <v>#NAME?</v>
      </c>
      <c r="H22" s="8" t="s">
        <v>145</v>
      </c>
      <c r="I22" s="24" t="s">
        <v>146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127</v>
      </c>
      <c r="T22" s="6" t="s">
        <v>305</v>
      </c>
      <c r="U22" s="6" t="s">
        <v>202</v>
      </c>
      <c r="V22" s="24" t="e">
        <f t="shared" ca="1" si="2"/>
        <v>#NAME?</v>
      </c>
      <c r="W22" s="24"/>
      <c r="X22" s="24"/>
      <c r="Y22" s="6" t="s">
        <v>240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2929</v>
      </c>
      <c r="B23" s="106" t="s">
        <v>306</v>
      </c>
      <c r="C23" s="9">
        <v>34380</v>
      </c>
      <c r="D23" s="9" t="s">
        <v>19</v>
      </c>
      <c r="E23" s="9" t="s">
        <v>35</v>
      </c>
      <c r="F23" s="9" t="s">
        <v>199</v>
      </c>
      <c r="G23" s="7" t="e">
        <f t="shared" ca="1" si="0"/>
        <v>#NAME?</v>
      </c>
      <c r="H23" s="8" t="s">
        <v>145</v>
      </c>
      <c r="I23" s="24" t="s">
        <v>146</v>
      </c>
      <c r="J23" s="9" t="str">
        <f t="shared" si="1"/>
        <v>Não</v>
      </c>
      <c r="K23" s="107">
        <v>44266</v>
      </c>
      <c r="L23" s="6"/>
      <c r="M23" s="6" t="s">
        <v>333</v>
      </c>
      <c r="N23" s="10">
        <v>0.02</v>
      </c>
      <c r="O23" s="9" t="s">
        <v>39</v>
      </c>
      <c r="P23" s="234">
        <v>0.2</v>
      </c>
      <c r="Q23" s="45"/>
      <c r="R23" s="108" t="s">
        <v>2976</v>
      </c>
      <c r="S23" s="7" t="s">
        <v>127</v>
      </c>
      <c r="T23" s="9" t="s">
        <v>308</v>
      </c>
      <c r="U23" s="6" t="s">
        <v>202</v>
      </c>
      <c r="V23" s="24" t="e">
        <f t="shared" ca="1" si="2"/>
        <v>#NAME?</v>
      </c>
      <c r="W23" s="24"/>
      <c r="X23" s="24"/>
      <c r="Y23" s="6" t="s">
        <v>129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2929</v>
      </c>
      <c r="B24" s="3" t="s">
        <v>2977</v>
      </c>
      <c r="C24" s="9">
        <v>578360</v>
      </c>
      <c r="D24" s="9" t="s">
        <v>19</v>
      </c>
      <c r="E24" s="9" t="s">
        <v>35</v>
      </c>
      <c r="F24" s="9" t="s">
        <v>199</v>
      </c>
      <c r="G24" s="7" t="e">
        <f t="shared" ca="1" si="0"/>
        <v>#NAME?</v>
      </c>
      <c r="H24" s="8" t="s">
        <v>145</v>
      </c>
      <c r="I24" s="24" t="s">
        <v>146</v>
      </c>
      <c r="J24" s="9" t="str">
        <f t="shared" si="1"/>
        <v>Não</v>
      </c>
      <c r="K24" s="232">
        <v>44319</v>
      </c>
      <c r="L24" s="6"/>
      <c r="M24" s="6" t="s">
        <v>185</v>
      </c>
      <c r="N24" s="10">
        <v>1.4999999999999999E-2</v>
      </c>
      <c r="O24" s="9" t="s">
        <v>39</v>
      </c>
      <c r="P24" s="234">
        <v>0.1</v>
      </c>
      <c r="Q24" s="45"/>
      <c r="R24" s="28" t="s">
        <v>2978</v>
      </c>
      <c r="S24" s="7" t="s">
        <v>127</v>
      </c>
      <c r="T24" s="6" t="s">
        <v>313</v>
      </c>
      <c r="U24" s="6" t="s">
        <v>202</v>
      </c>
      <c r="V24" s="24" t="e">
        <f t="shared" ca="1" si="2"/>
        <v>#NAME?</v>
      </c>
      <c r="W24" s="24"/>
      <c r="X24" s="24"/>
      <c r="Y24" s="6" t="s">
        <v>240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2929</v>
      </c>
      <c r="B25" s="106" t="s">
        <v>327</v>
      </c>
      <c r="C25" s="9">
        <v>32319</v>
      </c>
      <c r="D25" s="9" t="s">
        <v>19</v>
      </c>
      <c r="E25" s="9" t="s">
        <v>35</v>
      </c>
      <c r="F25" s="9" t="s">
        <v>2979</v>
      </c>
      <c r="G25" s="7" t="e">
        <f t="shared" ca="1" si="0"/>
        <v>#NAME?</v>
      </c>
      <c r="H25" s="8" t="s">
        <v>145</v>
      </c>
      <c r="I25" s="24" t="s">
        <v>190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2980</v>
      </c>
      <c r="R25" s="235"/>
      <c r="S25" s="7" t="s">
        <v>127</v>
      </c>
      <c r="T25" s="9" t="s">
        <v>330</v>
      </c>
      <c r="U25" s="6" t="s">
        <v>202</v>
      </c>
      <c r="V25" s="24" t="e">
        <f t="shared" ca="1" si="2"/>
        <v>#NAME?</v>
      </c>
      <c r="W25" s="24"/>
      <c r="X25" s="24"/>
      <c r="Y25" s="6" t="s">
        <v>240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2929</v>
      </c>
      <c r="B26" s="3" t="s">
        <v>2981</v>
      </c>
      <c r="C26" s="9">
        <v>36944</v>
      </c>
      <c r="D26" s="244" t="s">
        <v>19</v>
      </c>
      <c r="E26" s="244" t="s">
        <v>35</v>
      </c>
      <c r="F26" s="244" t="s">
        <v>199</v>
      </c>
      <c r="G26" s="7" t="e">
        <f t="shared" ca="1" si="0"/>
        <v>#NAME?</v>
      </c>
      <c r="H26" s="245" t="s">
        <v>134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242</v>
      </c>
      <c r="N26" s="248">
        <v>2.5000000000000001E-2</v>
      </c>
      <c r="O26" s="244" t="s">
        <v>167</v>
      </c>
      <c r="P26" s="249">
        <v>0.2</v>
      </c>
      <c r="Q26" s="108"/>
      <c r="R26" s="108"/>
      <c r="S26" s="7" t="s">
        <v>127</v>
      </c>
      <c r="T26" s="6" t="s">
        <v>2982</v>
      </c>
      <c r="U26" s="6" t="s">
        <v>202</v>
      </c>
      <c r="V26" s="24" t="e">
        <f t="shared" ca="1" si="2"/>
        <v>#NAME?</v>
      </c>
      <c r="W26" s="24"/>
      <c r="X26" s="24"/>
      <c r="Y26" s="6" t="s">
        <v>240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2929</v>
      </c>
      <c r="B27" s="37" t="s">
        <v>2983</v>
      </c>
      <c r="C27" s="9">
        <v>446649</v>
      </c>
      <c r="D27" s="9" t="s">
        <v>19</v>
      </c>
      <c r="E27" s="9" t="s">
        <v>35</v>
      </c>
      <c r="F27" s="9" t="s">
        <v>250</v>
      </c>
      <c r="G27" s="7" t="e">
        <f t="shared" ca="1" si="0"/>
        <v>#NAME?</v>
      </c>
      <c r="H27" s="8" t="s">
        <v>145</v>
      </c>
      <c r="I27" s="24" t="s">
        <v>146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127</v>
      </c>
      <c r="T27" s="6" t="s">
        <v>322</v>
      </c>
      <c r="U27" s="6" t="s">
        <v>202</v>
      </c>
      <c r="V27" s="24" t="e">
        <f t="shared" ca="1" si="2"/>
        <v>#NAME?</v>
      </c>
      <c r="W27" s="24"/>
      <c r="X27" s="24"/>
      <c r="Y27" s="6" t="s">
        <v>240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2929</v>
      </c>
      <c r="B28" s="37" t="s">
        <v>2984</v>
      </c>
      <c r="C28" s="9">
        <v>352574</v>
      </c>
      <c r="D28" s="9" t="s">
        <v>19</v>
      </c>
      <c r="E28" s="9" t="s">
        <v>35</v>
      </c>
      <c r="F28" s="9" t="s">
        <v>199</v>
      </c>
      <c r="G28" s="7" t="e">
        <f t="shared" ca="1" si="0"/>
        <v>#NAME?</v>
      </c>
      <c r="H28" s="8" t="s">
        <v>145</v>
      </c>
      <c r="I28" s="24" t="s">
        <v>146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2985</v>
      </c>
      <c r="S28" s="7" t="s">
        <v>127</v>
      </c>
      <c r="T28" s="6" t="s">
        <v>354</v>
      </c>
      <c r="U28" s="6" t="s">
        <v>202</v>
      </c>
      <c r="V28" s="24" t="e">
        <f t="shared" ca="1" si="2"/>
        <v>#NAME?</v>
      </c>
      <c r="W28" s="24"/>
      <c r="X28" s="24"/>
      <c r="Y28" s="6" t="s">
        <v>240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2929</v>
      </c>
      <c r="B29" s="3" t="s">
        <v>2986</v>
      </c>
      <c r="C29" s="9">
        <v>34467</v>
      </c>
      <c r="D29" s="9" t="s">
        <v>19</v>
      </c>
      <c r="E29" s="9" t="s">
        <v>35</v>
      </c>
      <c r="F29" s="9" t="s">
        <v>250</v>
      </c>
      <c r="G29" s="7" t="e">
        <f t="shared" ca="1" si="0"/>
        <v>#NAME?</v>
      </c>
      <c r="H29" s="8" t="s">
        <v>145</v>
      </c>
      <c r="I29" s="24" t="s">
        <v>146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127</v>
      </c>
      <c r="T29" s="6" t="s">
        <v>365</v>
      </c>
      <c r="U29" s="6" t="s">
        <v>202</v>
      </c>
      <c r="V29" s="24" t="e">
        <f t="shared" ca="1" si="2"/>
        <v>#NAME?</v>
      </c>
      <c r="W29" s="24"/>
      <c r="X29" s="24"/>
      <c r="Y29" s="6" t="s">
        <v>129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2929</v>
      </c>
      <c r="B30" s="37" t="s">
        <v>376</v>
      </c>
      <c r="C30" s="9">
        <v>286648</v>
      </c>
      <c r="D30" s="9" t="s">
        <v>19</v>
      </c>
      <c r="E30" s="9" t="s">
        <v>20</v>
      </c>
      <c r="F30" s="6" t="s">
        <v>437</v>
      </c>
      <c r="G30" s="7" t="e">
        <f t="shared" ca="1" si="0"/>
        <v>#NAME?</v>
      </c>
      <c r="H30" s="8" t="s">
        <v>125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242</v>
      </c>
      <c r="N30" s="10">
        <v>1E-4</v>
      </c>
      <c r="O30" s="9" t="s">
        <v>167</v>
      </c>
      <c r="P30" s="234">
        <v>0.2</v>
      </c>
      <c r="Q30" s="45"/>
      <c r="R30" s="108" t="s">
        <v>2987</v>
      </c>
      <c r="S30" s="7" t="s">
        <v>127</v>
      </c>
      <c r="T30" s="6" t="s">
        <v>378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2940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2929</v>
      </c>
      <c r="B31" s="37" t="s">
        <v>2988</v>
      </c>
      <c r="C31" s="9">
        <v>317547</v>
      </c>
      <c r="D31" s="9" t="s">
        <v>19</v>
      </c>
      <c r="E31" s="9" t="s">
        <v>20</v>
      </c>
      <c r="F31" s="6" t="s">
        <v>437</v>
      </c>
      <c r="G31" s="7" t="e">
        <f t="shared" ca="1" si="0"/>
        <v>#NAME?</v>
      </c>
      <c r="H31" s="8" t="s">
        <v>125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242</v>
      </c>
      <c r="N31" s="10">
        <v>1E-4</v>
      </c>
      <c r="O31" s="9" t="s">
        <v>167</v>
      </c>
      <c r="P31" s="234">
        <v>0.2</v>
      </c>
      <c r="Q31" s="45"/>
      <c r="R31" s="108" t="s">
        <v>2987</v>
      </c>
      <c r="S31" s="7" t="s">
        <v>127</v>
      </c>
      <c r="T31" s="6" t="s">
        <v>378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2940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2929</v>
      </c>
      <c r="B32" s="37" t="s">
        <v>2989</v>
      </c>
      <c r="C32" s="9">
        <v>34135</v>
      </c>
      <c r="D32" s="9" t="s">
        <v>2931</v>
      </c>
      <c r="E32" s="9" t="s">
        <v>20</v>
      </c>
      <c r="F32" s="6" t="s">
        <v>2938</v>
      </c>
      <c r="G32" s="7" t="e">
        <f t="shared" ca="1" si="0"/>
        <v>#NAME?</v>
      </c>
      <c r="H32" s="8" t="s">
        <v>125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185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127</v>
      </c>
      <c r="T32" s="6" t="s">
        <v>2990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2940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2929</v>
      </c>
      <c r="B33" s="37" t="s">
        <v>2991</v>
      </c>
      <c r="C33" s="9">
        <v>469418</v>
      </c>
      <c r="D33" s="9" t="s">
        <v>19</v>
      </c>
      <c r="E33" s="9" t="s">
        <v>66</v>
      </c>
      <c r="F33" s="7" t="s">
        <v>316</v>
      </c>
      <c r="G33" s="7" t="e">
        <f t="shared" ca="1" si="0"/>
        <v>#NAME?</v>
      </c>
      <c r="H33" s="8" t="s">
        <v>125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185</v>
      </c>
      <c r="N33" s="10">
        <v>1.4999999999999999E-2</v>
      </c>
      <c r="O33" s="9" t="s">
        <v>39</v>
      </c>
      <c r="P33" s="234">
        <v>0.1</v>
      </c>
      <c r="Q33" s="45"/>
      <c r="R33" s="108" t="s">
        <v>2992</v>
      </c>
      <c r="S33" s="7" t="s">
        <v>127</v>
      </c>
      <c r="T33" s="6" t="s">
        <v>2993</v>
      </c>
      <c r="U33" s="6" t="s">
        <v>66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2929</v>
      </c>
      <c r="B34" s="3" t="s">
        <v>2994</v>
      </c>
      <c r="C34" s="9">
        <v>446160</v>
      </c>
      <c r="D34" s="9" t="s">
        <v>2931</v>
      </c>
      <c r="E34" s="9" t="s">
        <v>20</v>
      </c>
      <c r="F34" s="6" t="s">
        <v>2932</v>
      </c>
      <c r="G34" s="7" t="e">
        <f t="shared" ca="1" si="0"/>
        <v>#NAME?</v>
      </c>
      <c r="H34" s="8" t="s">
        <v>125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185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127</v>
      </c>
      <c r="T34" s="6" t="s">
        <v>2995</v>
      </c>
      <c r="U34" s="6" t="s">
        <v>20</v>
      </c>
      <c r="V34" s="24" t="e">
        <f t="shared" ca="1" si="2"/>
        <v>#NAME?</v>
      </c>
      <c r="W34" s="24"/>
      <c r="X34" s="24"/>
      <c r="Y34" s="6" t="s">
        <v>240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2940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2929</v>
      </c>
      <c r="B35" s="37" t="s">
        <v>2996</v>
      </c>
      <c r="C35" s="9">
        <v>84638</v>
      </c>
      <c r="D35" s="9" t="s">
        <v>2997</v>
      </c>
      <c r="E35" s="9" t="s">
        <v>20</v>
      </c>
      <c r="F35" s="6" t="s">
        <v>2997</v>
      </c>
      <c r="G35" s="7" t="e">
        <f t="shared" ca="1" si="0"/>
        <v>#NAME?</v>
      </c>
      <c r="H35" s="8" t="s">
        <v>125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242</v>
      </c>
      <c r="N35" s="10">
        <v>0.01</v>
      </c>
      <c r="O35" s="9" t="s">
        <v>167</v>
      </c>
      <c r="P35" s="234">
        <v>0.2</v>
      </c>
      <c r="Q35" s="45"/>
      <c r="R35" s="108"/>
      <c r="S35" s="7" t="s">
        <v>127</v>
      </c>
      <c r="T35" s="6" t="s">
        <v>2998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2940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2929</v>
      </c>
      <c r="B36" s="37" t="s">
        <v>2999</v>
      </c>
      <c r="C36" s="9">
        <v>290205</v>
      </c>
      <c r="D36" s="9" t="s">
        <v>19</v>
      </c>
      <c r="E36" s="9" t="s">
        <v>20</v>
      </c>
      <c r="F36" s="6" t="s">
        <v>437</v>
      </c>
      <c r="G36" s="7" t="e">
        <f t="shared" ca="1" si="0"/>
        <v>#NAME?</v>
      </c>
      <c r="H36" s="8" t="s">
        <v>125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242</v>
      </c>
      <c r="N36" s="10">
        <v>0.02</v>
      </c>
      <c r="O36" s="9" t="s">
        <v>167</v>
      </c>
      <c r="P36" s="234">
        <v>0.2</v>
      </c>
      <c r="Q36" s="45"/>
      <c r="R36" s="108"/>
      <c r="S36" s="7" t="s">
        <v>127</v>
      </c>
      <c r="T36" s="6" t="s">
        <v>3000</v>
      </c>
      <c r="U36" s="6" t="s">
        <v>878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2940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2929</v>
      </c>
      <c r="B37" s="37" t="s">
        <v>3001</v>
      </c>
      <c r="C37" s="9">
        <v>259187</v>
      </c>
      <c r="D37" s="9" t="s">
        <v>19</v>
      </c>
      <c r="E37" s="9" t="s">
        <v>35</v>
      </c>
      <c r="F37" s="6" t="s">
        <v>250</v>
      </c>
      <c r="G37" s="7" t="e">
        <f t="shared" ca="1" si="0"/>
        <v>#NAME?</v>
      </c>
      <c r="H37" s="8" t="s">
        <v>125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333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127</v>
      </c>
      <c r="T37" s="6" t="s">
        <v>3002</v>
      </c>
      <c r="U37" s="6" t="s">
        <v>202</v>
      </c>
      <c r="V37" s="24" t="e">
        <f t="shared" ca="1" si="2"/>
        <v>#NAME?</v>
      </c>
      <c r="W37" s="24"/>
      <c r="X37" s="24"/>
      <c r="Y37" s="6" t="s">
        <v>240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2940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2929</v>
      </c>
      <c r="B38" s="3" t="s">
        <v>407</v>
      </c>
      <c r="C38" s="9">
        <v>32262</v>
      </c>
      <c r="D38" s="244" t="s">
        <v>19</v>
      </c>
      <c r="E38" s="244" t="s">
        <v>35</v>
      </c>
      <c r="F38" s="244" t="s">
        <v>199</v>
      </c>
      <c r="G38" s="7" t="e">
        <f t="shared" ca="1" si="0"/>
        <v>#NAME?</v>
      </c>
      <c r="H38" s="245" t="s">
        <v>145</v>
      </c>
      <c r="I38" s="24" t="s">
        <v>146</v>
      </c>
      <c r="J38" s="9" t="str">
        <f t="shared" si="1"/>
        <v>Não</v>
      </c>
      <c r="K38" s="246">
        <v>44267</v>
      </c>
      <c r="L38" s="247"/>
      <c r="M38" s="247" t="s">
        <v>185</v>
      </c>
      <c r="N38" s="248">
        <v>1.4999999999999999E-2</v>
      </c>
      <c r="O38" s="244"/>
      <c r="P38" s="249"/>
      <c r="Q38" s="108"/>
      <c r="R38" s="235" t="s">
        <v>3003</v>
      </c>
      <c r="S38" s="7" t="s">
        <v>127</v>
      </c>
      <c r="T38" s="6" t="s">
        <v>410</v>
      </c>
      <c r="U38" s="6" t="s">
        <v>48</v>
      </c>
      <c r="V38" s="24" t="e">
        <f t="shared" ca="1" si="2"/>
        <v>#NAME?</v>
      </c>
      <c r="W38" s="24"/>
      <c r="X38" s="24"/>
      <c r="Y38" s="6" t="s">
        <v>129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2929</v>
      </c>
      <c r="B39" s="37" t="s">
        <v>3004</v>
      </c>
      <c r="C39" s="9">
        <v>584285</v>
      </c>
      <c r="D39" s="9" t="s">
        <v>2931</v>
      </c>
      <c r="E39" s="9" t="s">
        <v>20</v>
      </c>
      <c r="F39" s="6" t="s">
        <v>2932</v>
      </c>
      <c r="G39" s="7" t="e">
        <f t="shared" ca="1" si="0"/>
        <v>#NAME?</v>
      </c>
      <c r="H39" s="8" t="s">
        <v>125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3005</v>
      </c>
      <c r="S39" s="7" t="s">
        <v>127</v>
      </c>
      <c r="T39" s="6" t="s">
        <v>3006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2940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2929</v>
      </c>
      <c r="B40" s="3" t="s">
        <v>3007</v>
      </c>
      <c r="C40" s="9">
        <v>429937</v>
      </c>
      <c r="D40" s="9" t="s">
        <v>19</v>
      </c>
      <c r="E40" s="9" t="s">
        <v>35</v>
      </c>
      <c r="F40" s="6" t="s">
        <v>250</v>
      </c>
      <c r="G40" s="7" t="e">
        <f t="shared" ca="1" si="0"/>
        <v>#NAME?</v>
      </c>
      <c r="H40" s="8" t="s">
        <v>125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127</v>
      </c>
      <c r="T40" s="6" t="s">
        <v>3008</v>
      </c>
      <c r="U40" s="6" t="s">
        <v>202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2929</v>
      </c>
      <c r="B41" s="3" t="s">
        <v>414</v>
      </c>
      <c r="C41" s="9">
        <v>293395</v>
      </c>
      <c r="D41" s="9" t="s">
        <v>19</v>
      </c>
      <c r="E41" s="9" t="s">
        <v>35</v>
      </c>
      <c r="F41" s="9" t="s">
        <v>250</v>
      </c>
      <c r="G41" s="7" t="e">
        <f t="shared" ca="1" si="0"/>
        <v>#NAME?</v>
      </c>
      <c r="H41" s="8" t="s">
        <v>145</v>
      </c>
      <c r="I41" s="24" t="s">
        <v>146</v>
      </c>
      <c r="J41" s="9" t="str">
        <f t="shared" si="1"/>
        <v>Não</v>
      </c>
      <c r="K41" s="232">
        <v>44323</v>
      </c>
      <c r="L41" s="6"/>
      <c r="M41" s="6" t="s">
        <v>185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127</v>
      </c>
      <c r="T41" s="6" t="s">
        <v>416</v>
      </c>
      <c r="U41" s="6" t="s">
        <v>202</v>
      </c>
      <c r="V41" s="24" t="e">
        <f t="shared" ca="1" si="2"/>
        <v>#NAME?</v>
      </c>
      <c r="W41" s="24"/>
      <c r="X41" s="24"/>
      <c r="Y41" s="6" t="s">
        <v>129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2929</v>
      </c>
      <c r="B42" s="3" t="s">
        <v>3009</v>
      </c>
      <c r="C42" s="9">
        <v>84635</v>
      </c>
      <c r="D42" s="9" t="s">
        <v>19</v>
      </c>
      <c r="E42" s="9" t="s">
        <v>35</v>
      </c>
      <c r="F42" s="6" t="s">
        <v>2979</v>
      </c>
      <c r="G42" s="7" t="e">
        <f t="shared" ca="1" si="0"/>
        <v>#NAME?</v>
      </c>
      <c r="H42" s="8" t="s">
        <v>125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3010</v>
      </c>
      <c r="S42" s="7" t="s">
        <v>127</v>
      </c>
      <c r="T42" s="6" t="s">
        <v>3011</v>
      </c>
      <c r="U42" s="6" t="s">
        <v>202</v>
      </c>
      <c r="V42" s="24" t="e">
        <f t="shared" ca="1" si="2"/>
        <v>#NAME?</v>
      </c>
      <c r="W42" s="24"/>
      <c r="X42" s="24"/>
      <c r="Y42" s="6" t="s">
        <v>240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2929</v>
      </c>
      <c r="B43" s="106" t="s">
        <v>425</v>
      </c>
      <c r="C43" s="9">
        <v>33002</v>
      </c>
      <c r="D43" s="9" t="s">
        <v>19</v>
      </c>
      <c r="E43" s="9" t="s">
        <v>35</v>
      </c>
      <c r="F43" s="9" t="s">
        <v>199</v>
      </c>
      <c r="G43" s="7" t="e">
        <f t="shared" ca="1" si="0"/>
        <v>#NAME?</v>
      </c>
      <c r="H43" s="8" t="s">
        <v>145</v>
      </c>
      <c r="I43" s="24" t="s">
        <v>146</v>
      </c>
      <c r="J43" s="9" t="str">
        <f t="shared" si="1"/>
        <v>Sim</v>
      </c>
      <c r="K43" s="107">
        <v>44263</v>
      </c>
      <c r="L43" s="6"/>
      <c r="M43" s="6" t="s">
        <v>185</v>
      </c>
      <c r="N43" s="10">
        <v>7.4999999999999997E-3</v>
      </c>
      <c r="O43" s="9" t="s">
        <v>39</v>
      </c>
      <c r="P43" s="234">
        <v>0.15</v>
      </c>
      <c r="Q43" s="108" t="s">
        <v>3012</v>
      </c>
      <c r="R43" s="235"/>
      <c r="S43" s="7" t="s">
        <v>127</v>
      </c>
      <c r="T43" s="9" t="s">
        <v>427</v>
      </c>
      <c r="U43" s="6" t="s">
        <v>202</v>
      </c>
      <c r="V43" s="24" t="e">
        <f t="shared" ca="1" si="2"/>
        <v>#NAME?</v>
      </c>
      <c r="W43" s="24"/>
      <c r="X43" s="24"/>
      <c r="Y43" s="6" t="s">
        <v>129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2929</v>
      </c>
      <c r="B44" s="3" t="s">
        <v>3013</v>
      </c>
      <c r="C44" s="9">
        <v>575772</v>
      </c>
      <c r="D44" s="9" t="s">
        <v>19</v>
      </c>
      <c r="E44" s="9" t="s">
        <v>35</v>
      </c>
      <c r="F44" s="6" t="s">
        <v>199</v>
      </c>
      <c r="G44" s="7" t="e">
        <f t="shared" ca="1" si="0"/>
        <v>#NAME?</v>
      </c>
      <c r="H44" s="8" t="s">
        <v>125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242</v>
      </c>
      <c r="N44" s="10">
        <v>2.5000000000000001E-2</v>
      </c>
      <c r="O44" s="9" t="s">
        <v>167</v>
      </c>
      <c r="P44" s="234">
        <v>0.2</v>
      </c>
      <c r="Q44" s="45"/>
      <c r="R44" s="108"/>
      <c r="S44" s="7" t="s">
        <v>171</v>
      </c>
      <c r="T44" s="6" t="s">
        <v>3014</v>
      </c>
      <c r="U44" s="6" t="s">
        <v>202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2940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2929</v>
      </c>
      <c r="B45" s="106" t="s">
        <v>3015</v>
      </c>
      <c r="C45" s="9">
        <v>627408</v>
      </c>
      <c r="D45" s="9" t="s">
        <v>19</v>
      </c>
      <c r="E45" s="9" t="s">
        <v>2054</v>
      </c>
      <c r="F45" s="7" t="s">
        <v>3016</v>
      </c>
      <c r="G45" s="7" t="e">
        <f t="shared" ca="1" si="0"/>
        <v>#NAME?</v>
      </c>
      <c r="H45" s="8" t="s">
        <v>145</v>
      </c>
      <c r="I45" s="24" t="s">
        <v>146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127</v>
      </c>
      <c r="T45" s="9" t="s">
        <v>3017</v>
      </c>
      <c r="U45" s="7" t="s">
        <v>48</v>
      </c>
      <c r="V45" s="24" t="e">
        <f t="shared" ca="1" si="2"/>
        <v>#NAME?</v>
      </c>
      <c r="W45" s="24"/>
      <c r="X45" s="24"/>
      <c r="Y45" s="6" t="s">
        <v>240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2929</v>
      </c>
      <c r="B46" s="37" t="s">
        <v>3018</v>
      </c>
      <c r="C46" s="9">
        <v>82555</v>
      </c>
      <c r="D46" s="9" t="s">
        <v>2931</v>
      </c>
      <c r="E46" s="9" t="s">
        <v>20</v>
      </c>
      <c r="F46" s="6" t="s">
        <v>2932</v>
      </c>
      <c r="G46" s="7" t="e">
        <f t="shared" ca="1" si="0"/>
        <v>#NAME?</v>
      </c>
      <c r="H46" s="8" t="s">
        <v>125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242</v>
      </c>
      <c r="N46" s="10">
        <v>2.5000000000000001E-2</v>
      </c>
      <c r="O46" s="9" t="s">
        <v>167</v>
      </c>
      <c r="P46" s="234">
        <v>0.2</v>
      </c>
      <c r="Q46" s="45"/>
      <c r="R46" s="108"/>
      <c r="S46" s="7" t="s">
        <v>127</v>
      </c>
      <c r="T46" s="6" t="s">
        <v>3019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2940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2929</v>
      </c>
      <c r="B47" s="3" t="s">
        <v>3020</v>
      </c>
      <c r="C47" s="9">
        <v>575918</v>
      </c>
      <c r="D47" s="9" t="s">
        <v>2931</v>
      </c>
      <c r="E47" s="9" t="s">
        <v>20</v>
      </c>
      <c r="F47" s="6" t="s">
        <v>2932</v>
      </c>
      <c r="G47" s="7" t="e">
        <f t="shared" ca="1" si="0"/>
        <v>#NAME?</v>
      </c>
      <c r="H47" s="8" t="s">
        <v>125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185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127</v>
      </c>
      <c r="T47" s="6" t="s">
        <v>3021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2940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2929</v>
      </c>
      <c r="B48" s="37" t="s">
        <v>468</v>
      </c>
      <c r="C48" s="9">
        <v>624508</v>
      </c>
      <c r="D48" s="9" t="s">
        <v>19</v>
      </c>
      <c r="E48" s="9" t="s">
        <v>35</v>
      </c>
      <c r="F48" s="9" t="s">
        <v>199</v>
      </c>
      <c r="G48" s="7" t="e">
        <f t="shared" ca="1" si="0"/>
        <v>#NAME?</v>
      </c>
      <c r="H48" s="8" t="s">
        <v>145</v>
      </c>
      <c r="I48" s="24" t="s">
        <v>146</v>
      </c>
      <c r="J48" s="9" t="str">
        <f t="shared" si="1"/>
        <v>Não</v>
      </c>
      <c r="K48" s="25">
        <v>44421</v>
      </c>
      <c r="L48" s="6"/>
      <c r="M48" s="6" t="s">
        <v>185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127</v>
      </c>
      <c r="T48" s="6" t="s">
        <v>470</v>
      </c>
      <c r="U48" s="6" t="s">
        <v>202</v>
      </c>
      <c r="V48" s="24" t="e">
        <f t="shared" ca="1" si="2"/>
        <v>#NAME?</v>
      </c>
      <c r="W48" s="24"/>
      <c r="X48" s="24"/>
      <c r="Y48" s="6" t="s">
        <v>240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2929</v>
      </c>
      <c r="B49" s="3" t="s">
        <v>3022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145</v>
      </c>
      <c r="I49" s="24" t="s">
        <v>146</v>
      </c>
      <c r="J49" s="9" t="str">
        <f t="shared" si="1"/>
        <v>Não</v>
      </c>
      <c r="K49" s="232">
        <v>43903</v>
      </c>
      <c r="L49" s="6"/>
      <c r="M49" s="6" t="s">
        <v>185</v>
      </c>
      <c r="N49" s="10">
        <v>1.4999999999999999E-2</v>
      </c>
      <c r="O49" s="9" t="s">
        <v>25</v>
      </c>
      <c r="P49" s="234">
        <v>0</v>
      </c>
      <c r="Q49" s="108"/>
      <c r="R49" s="108" t="s">
        <v>3023</v>
      </c>
      <c r="S49" s="7" t="s">
        <v>127</v>
      </c>
      <c r="T49" s="6" t="s">
        <v>3024</v>
      </c>
      <c r="U49" s="6" t="s">
        <v>878</v>
      </c>
      <c r="V49" s="24" t="e">
        <f t="shared" ca="1" si="2"/>
        <v>#NAME?</v>
      </c>
      <c r="W49" s="24"/>
      <c r="X49" s="24"/>
      <c r="Y49" s="6" t="s">
        <v>240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2929</v>
      </c>
      <c r="B50" s="3" t="s">
        <v>490</v>
      </c>
      <c r="C50" s="9">
        <v>451734</v>
      </c>
      <c r="D50" s="244" t="s">
        <v>19</v>
      </c>
      <c r="E50" s="244" t="s">
        <v>20</v>
      </c>
      <c r="F50" s="244" t="s">
        <v>360</v>
      </c>
      <c r="G50" s="7" t="e">
        <f t="shared" ca="1" si="0"/>
        <v>#NAME?</v>
      </c>
      <c r="H50" s="245" t="s">
        <v>145</v>
      </c>
      <c r="I50" s="24" t="s">
        <v>146</v>
      </c>
      <c r="J50" s="9" t="str">
        <f t="shared" si="1"/>
        <v>Sim</v>
      </c>
      <c r="K50" s="246">
        <v>43928</v>
      </c>
      <c r="L50" s="247"/>
      <c r="M50" s="247" t="s">
        <v>185</v>
      </c>
      <c r="N50" s="251">
        <v>1.4999999999999999E-2</v>
      </c>
      <c r="O50" s="244" t="s">
        <v>39</v>
      </c>
      <c r="P50" s="249">
        <v>0.2</v>
      </c>
      <c r="Q50" s="108" t="s">
        <v>3025</v>
      </c>
      <c r="R50" s="108" t="s">
        <v>3026</v>
      </c>
      <c r="S50" s="7" t="s">
        <v>127</v>
      </c>
      <c r="T50" s="6" t="s">
        <v>494</v>
      </c>
      <c r="U50" s="6" t="s">
        <v>523</v>
      </c>
      <c r="V50" s="24" t="e">
        <f t="shared" ca="1" si="2"/>
        <v>#NAME?</v>
      </c>
      <c r="W50" s="24"/>
      <c r="X50" s="24"/>
      <c r="Y50" s="6" t="s">
        <v>240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2929</v>
      </c>
      <c r="B51" s="37" t="s">
        <v>3027</v>
      </c>
      <c r="C51" s="9">
        <v>440470</v>
      </c>
      <c r="D51" s="9" t="s">
        <v>2931</v>
      </c>
      <c r="E51" s="9" t="s">
        <v>20</v>
      </c>
      <c r="F51" s="6" t="s">
        <v>2932</v>
      </c>
      <c r="G51" s="7" t="e">
        <f t="shared" ca="1" si="0"/>
        <v>#NAME?</v>
      </c>
      <c r="H51" s="8" t="s">
        <v>125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3028</v>
      </c>
      <c r="S51" s="7" t="s">
        <v>127</v>
      </c>
      <c r="T51" s="6" t="s">
        <v>3029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2940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2929</v>
      </c>
      <c r="B52" s="37" t="s">
        <v>3030</v>
      </c>
      <c r="C52" s="9">
        <v>428022</v>
      </c>
      <c r="D52" s="9" t="s">
        <v>2931</v>
      </c>
      <c r="E52" s="9" t="s">
        <v>20</v>
      </c>
      <c r="F52" s="6" t="s">
        <v>2932</v>
      </c>
      <c r="G52" s="7" t="e">
        <f t="shared" ca="1" si="0"/>
        <v>#NAME?</v>
      </c>
      <c r="H52" s="8" t="s">
        <v>125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185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127</v>
      </c>
      <c r="T52" s="6" t="s">
        <v>3031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2940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2929</v>
      </c>
      <c r="B53" s="37" t="s">
        <v>3032</v>
      </c>
      <c r="C53" s="9">
        <v>293578</v>
      </c>
      <c r="D53" s="9" t="s">
        <v>19</v>
      </c>
      <c r="E53" s="9" t="s">
        <v>20</v>
      </c>
      <c r="F53" s="6" t="s">
        <v>437</v>
      </c>
      <c r="G53" s="7" t="e">
        <f t="shared" ca="1" si="0"/>
        <v>#NAME?</v>
      </c>
      <c r="H53" s="8" t="s">
        <v>125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333</v>
      </c>
      <c r="N53" s="10">
        <v>7.4999999999999997E-3</v>
      </c>
      <c r="O53" s="9" t="s">
        <v>39</v>
      </c>
      <c r="P53" s="234">
        <v>0.2</v>
      </c>
      <c r="Q53" s="235"/>
      <c r="R53" s="108" t="s">
        <v>3033</v>
      </c>
      <c r="S53" s="7" t="s">
        <v>127</v>
      </c>
      <c r="T53" s="6" t="s">
        <v>3034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2940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2929</v>
      </c>
      <c r="B54" s="37" t="s">
        <v>3032</v>
      </c>
      <c r="C54" s="9">
        <v>294408</v>
      </c>
      <c r="D54" s="9" t="s">
        <v>19</v>
      </c>
      <c r="E54" s="9" t="s">
        <v>20</v>
      </c>
      <c r="F54" s="6" t="s">
        <v>437</v>
      </c>
      <c r="G54" s="7" t="e">
        <f t="shared" ca="1" si="0"/>
        <v>#NAME?</v>
      </c>
      <c r="H54" s="8" t="s">
        <v>125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242</v>
      </c>
      <c r="N54" s="10">
        <v>1.2500000000000001E-2</v>
      </c>
      <c r="O54" s="9" t="s">
        <v>167</v>
      </c>
      <c r="P54" s="234">
        <v>0.2</v>
      </c>
      <c r="Q54" s="45"/>
      <c r="R54" s="108" t="s">
        <v>3035</v>
      </c>
      <c r="S54" s="7" t="s">
        <v>127</v>
      </c>
      <c r="T54" s="6" t="s">
        <v>3034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2940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2929</v>
      </c>
      <c r="B55" s="37" t="s">
        <v>520</v>
      </c>
      <c r="C55" s="9">
        <v>624134</v>
      </c>
      <c r="D55" s="9" t="s">
        <v>19</v>
      </c>
      <c r="E55" s="9" t="s">
        <v>35</v>
      </c>
      <c r="F55" s="9" t="s">
        <v>199</v>
      </c>
      <c r="G55" s="7" t="e">
        <f t="shared" ca="1" si="0"/>
        <v>#NAME?</v>
      </c>
      <c r="H55" s="8" t="s">
        <v>145</v>
      </c>
      <c r="I55" s="24" t="s">
        <v>146</v>
      </c>
      <c r="J55" s="9" t="str">
        <f t="shared" si="1"/>
        <v>Não</v>
      </c>
      <c r="K55" s="25">
        <v>44420</v>
      </c>
      <c r="L55" s="7"/>
      <c r="M55" s="6" t="s">
        <v>333</v>
      </c>
      <c r="N55" s="10">
        <v>0.02</v>
      </c>
      <c r="O55" s="9" t="s">
        <v>39</v>
      </c>
      <c r="P55" s="234">
        <v>0.2</v>
      </c>
      <c r="Q55" s="23"/>
      <c r="R55" s="28" t="s">
        <v>3036</v>
      </c>
      <c r="S55" s="7" t="s">
        <v>127</v>
      </c>
      <c r="T55" s="6" t="s">
        <v>522</v>
      </c>
      <c r="U55" s="7" t="s">
        <v>523</v>
      </c>
      <c r="V55" s="24" t="e">
        <f t="shared" ca="1" si="2"/>
        <v>#NAME?</v>
      </c>
      <c r="W55" s="24"/>
      <c r="X55" s="24"/>
      <c r="Y55" s="6" t="s">
        <v>240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2929</v>
      </c>
      <c r="B56" s="36" t="s">
        <v>3037</v>
      </c>
      <c r="C56" s="9">
        <v>435592</v>
      </c>
      <c r="D56" s="9" t="s">
        <v>2931</v>
      </c>
      <c r="E56" s="9" t="s">
        <v>20</v>
      </c>
      <c r="F56" s="9" t="s">
        <v>2932</v>
      </c>
      <c r="G56" s="7" t="e">
        <f t="shared" ca="1" si="0"/>
        <v>#NAME?</v>
      </c>
      <c r="H56" s="8" t="s">
        <v>125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127</v>
      </c>
      <c r="T56" s="9" t="s">
        <v>3038</v>
      </c>
      <c r="U56" s="6" t="s">
        <v>20</v>
      </c>
      <c r="V56" s="24" t="e">
        <f t="shared" ca="1" si="2"/>
        <v>#NAME?</v>
      </c>
      <c r="W56" s="24"/>
      <c r="X56" s="24"/>
      <c r="Y56" s="6" t="s">
        <v>240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2929</v>
      </c>
      <c r="B57" s="3" t="s">
        <v>530</v>
      </c>
      <c r="C57" s="9">
        <v>35841</v>
      </c>
      <c r="D57" s="9" t="s">
        <v>19</v>
      </c>
      <c r="E57" s="9" t="s">
        <v>35</v>
      </c>
      <c r="F57" s="9" t="s">
        <v>250</v>
      </c>
      <c r="G57" s="7" t="e">
        <f t="shared" ca="1" si="0"/>
        <v>#NAME?</v>
      </c>
      <c r="H57" s="8" t="s">
        <v>145</v>
      </c>
      <c r="I57" s="24" t="s">
        <v>146</v>
      </c>
      <c r="J57" s="9" t="str">
        <f t="shared" si="1"/>
        <v>Não</v>
      </c>
      <c r="K57" s="232">
        <v>44291</v>
      </c>
      <c r="L57" s="6"/>
      <c r="M57" s="6" t="s">
        <v>185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127</v>
      </c>
      <c r="T57" s="6" t="s">
        <v>532</v>
      </c>
      <c r="U57" s="6" t="s">
        <v>202</v>
      </c>
      <c r="V57" s="24" t="e">
        <f t="shared" ca="1" si="2"/>
        <v>#NAME?</v>
      </c>
      <c r="W57" s="24"/>
      <c r="X57" s="24"/>
      <c r="Y57" s="6" t="s">
        <v>240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2929</v>
      </c>
      <c r="B58" s="3" t="s">
        <v>536</v>
      </c>
      <c r="C58" s="9">
        <v>36284</v>
      </c>
      <c r="D58" s="9" t="s">
        <v>19</v>
      </c>
      <c r="E58" s="9" t="s">
        <v>35</v>
      </c>
      <c r="F58" s="9" t="s">
        <v>199</v>
      </c>
      <c r="G58" s="7" t="e">
        <f t="shared" ca="1" si="0"/>
        <v>#NAME?</v>
      </c>
      <c r="H58" s="8" t="s">
        <v>145</v>
      </c>
      <c r="I58" s="24" t="s">
        <v>146</v>
      </c>
      <c r="J58" s="9" t="str">
        <f t="shared" si="1"/>
        <v>Não</v>
      </c>
      <c r="K58" s="25">
        <v>44358</v>
      </c>
      <c r="L58" s="6"/>
      <c r="M58" s="6" t="s">
        <v>185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127</v>
      </c>
      <c r="T58" s="6" t="s">
        <v>3039</v>
      </c>
      <c r="U58" s="6" t="s">
        <v>202</v>
      </c>
      <c r="V58" s="24" t="e">
        <f t="shared" ca="1" si="2"/>
        <v>#NAME?</v>
      </c>
      <c r="W58" s="24"/>
      <c r="X58" s="24"/>
      <c r="Y58" s="6" t="s">
        <v>129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2929</v>
      </c>
      <c r="B59" s="3" t="s">
        <v>542</v>
      </c>
      <c r="C59" s="9">
        <v>46477</v>
      </c>
      <c r="D59" s="9" t="s">
        <v>19</v>
      </c>
      <c r="E59" s="9" t="s">
        <v>35</v>
      </c>
      <c r="F59" s="9" t="s">
        <v>250</v>
      </c>
      <c r="G59" s="7" t="e">
        <f t="shared" ca="1" si="0"/>
        <v>#NAME?</v>
      </c>
      <c r="H59" s="8" t="s">
        <v>145</v>
      </c>
      <c r="I59" s="24" t="s">
        <v>146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3040</v>
      </c>
      <c r="S59" s="7" t="s">
        <v>127</v>
      </c>
      <c r="T59" s="6" t="s">
        <v>544</v>
      </c>
      <c r="U59" s="6" t="s">
        <v>202</v>
      </c>
      <c r="V59" s="24" t="e">
        <f t="shared" ca="1" si="2"/>
        <v>#NAME?</v>
      </c>
      <c r="W59" s="24"/>
      <c r="X59" s="24"/>
      <c r="Y59" s="6" t="s">
        <v>240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2929</v>
      </c>
      <c r="B60" s="3" t="s">
        <v>546</v>
      </c>
      <c r="C60" s="9">
        <v>39943</v>
      </c>
      <c r="D60" s="9" t="s">
        <v>19</v>
      </c>
      <c r="E60" s="9" t="s">
        <v>35</v>
      </c>
      <c r="F60" s="9" t="s">
        <v>250</v>
      </c>
      <c r="G60" s="7" t="e">
        <f t="shared" ca="1" si="0"/>
        <v>#NAME?</v>
      </c>
      <c r="H60" s="8" t="s">
        <v>145</v>
      </c>
      <c r="I60" s="24" t="s">
        <v>146</v>
      </c>
      <c r="J60" s="9" t="str">
        <f t="shared" si="1"/>
        <v>Não</v>
      </c>
      <c r="K60" s="25">
        <v>44364</v>
      </c>
      <c r="L60" s="6"/>
      <c r="M60" s="6" t="s">
        <v>185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127</v>
      </c>
      <c r="T60" s="6" t="s">
        <v>548</v>
      </c>
      <c r="U60" s="6" t="s">
        <v>202</v>
      </c>
      <c r="V60" s="24" t="e">
        <f t="shared" ca="1" si="2"/>
        <v>#NAME?</v>
      </c>
      <c r="W60" s="24"/>
      <c r="X60" s="24"/>
      <c r="Y60" s="6" t="s">
        <v>240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2929</v>
      </c>
      <c r="B61" s="3" t="s">
        <v>3041</v>
      </c>
      <c r="C61" s="9">
        <v>31792</v>
      </c>
      <c r="D61" s="9" t="s">
        <v>19</v>
      </c>
      <c r="E61" s="9" t="s">
        <v>35</v>
      </c>
      <c r="F61" s="6" t="s">
        <v>2979</v>
      </c>
      <c r="G61" s="7" t="e">
        <f t="shared" ca="1" si="0"/>
        <v>#NAME?</v>
      </c>
      <c r="H61" s="8" t="s">
        <v>125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185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127</v>
      </c>
      <c r="T61" s="6" t="s">
        <v>3042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2940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2929</v>
      </c>
      <c r="B62" s="3" t="s">
        <v>3043</v>
      </c>
      <c r="C62" s="9">
        <v>434978</v>
      </c>
      <c r="D62" s="9" t="s">
        <v>2931</v>
      </c>
      <c r="E62" s="9" t="s">
        <v>20</v>
      </c>
      <c r="F62" s="6" t="s">
        <v>2932</v>
      </c>
      <c r="G62" s="7" t="e">
        <f t="shared" ca="1" si="0"/>
        <v>#NAME?</v>
      </c>
      <c r="H62" s="8" t="s">
        <v>125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242</v>
      </c>
      <c r="N62" s="10">
        <v>0.01</v>
      </c>
      <c r="O62" s="9" t="s">
        <v>167</v>
      </c>
      <c r="P62" s="234">
        <v>0.2</v>
      </c>
      <c r="Q62" s="45"/>
      <c r="R62" s="108" t="s">
        <v>3044</v>
      </c>
      <c r="S62" s="7" t="s">
        <v>127</v>
      </c>
      <c r="T62" s="6" t="s">
        <v>3045</v>
      </c>
      <c r="U62" s="6" t="s">
        <v>20</v>
      </c>
      <c r="V62" s="24" t="e">
        <f t="shared" ca="1" si="2"/>
        <v>#NAME?</v>
      </c>
      <c r="W62" s="24"/>
      <c r="X62" s="24"/>
      <c r="Y62" s="6" t="s">
        <v>240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2929</v>
      </c>
      <c r="B63" s="3" t="s">
        <v>3046</v>
      </c>
      <c r="C63" s="9">
        <v>33280</v>
      </c>
      <c r="D63" s="9" t="s">
        <v>19</v>
      </c>
      <c r="E63" s="9" t="s">
        <v>35</v>
      </c>
      <c r="F63" s="6" t="s">
        <v>2979</v>
      </c>
      <c r="G63" s="7" t="e">
        <f t="shared" ca="1" si="0"/>
        <v>#NAME?</v>
      </c>
      <c r="H63" s="8" t="s">
        <v>125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185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127</v>
      </c>
      <c r="T63" s="6" t="s">
        <v>3047</v>
      </c>
      <c r="U63" s="6" t="s">
        <v>202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2940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2929</v>
      </c>
      <c r="B64" s="36" t="s">
        <v>3048</v>
      </c>
      <c r="C64" s="9">
        <v>32049</v>
      </c>
      <c r="D64" s="244" t="s">
        <v>2997</v>
      </c>
      <c r="E64" s="244" t="s">
        <v>20</v>
      </c>
      <c r="F64" s="244" t="s">
        <v>2997</v>
      </c>
      <c r="G64" s="7" t="e">
        <f t="shared" ca="1" si="0"/>
        <v>#NAME?</v>
      </c>
      <c r="H64" s="245" t="s">
        <v>145</v>
      </c>
      <c r="I64" s="24" t="s">
        <v>146</v>
      </c>
      <c r="J64" s="9" t="str">
        <f t="shared" si="1"/>
        <v>Não</v>
      </c>
      <c r="K64" s="246">
        <v>43370</v>
      </c>
      <c r="L64" s="247"/>
      <c r="M64" s="247" t="s">
        <v>242</v>
      </c>
      <c r="N64" s="251">
        <v>0.01</v>
      </c>
      <c r="O64" s="251"/>
      <c r="P64" s="249"/>
      <c r="Q64" s="23"/>
      <c r="R64" s="108" t="s">
        <v>3049</v>
      </c>
      <c r="S64" s="7" t="s">
        <v>127</v>
      </c>
      <c r="T64" s="9" t="s">
        <v>3050</v>
      </c>
      <c r="U64" s="6" t="s">
        <v>20</v>
      </c>
      <c r="V64" s="24" t="e">
        <f t="shared" ca="1" si="2"/>
        <v>#NAME?</v>
      </c>
      <c r="W64" s="24"/>
      <c r="X64" s="24"/>
      <c r="Y64" s="6" t="s">
        <v>240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2929</v>
      </c>
      <c r="B65" s="37" t="s">
        <v>3051</v>
      </c>
      <c r="C65" s="9">
        <v>35069</v>
      </c>
      <c r="D65" s="9" t="s">
        <v>19</v>
      </c>
      <c r="E65" s="9" t="s">
        <v>35</v>
      </c>
      <c r="F65" s="9" t="s">
        <v>250</v>
      </c>
      <c r="G65" s="7" t="e">
        <f t="shared" ca="1" si="0"/>
        <v>#NAME?</v>
      </c>
      <c r="H65" s="8" t="s">
        <v>145</v>
      </c>
      <c r="I65" s="24" t="s">
        <v>146</v>
      </c>
      <c r="J65" s="9" t="str">
        <f t="shared" si="1"/>
        <v>Não</v>
      </c>
      <c r="K65" s="25">
        <v>44438</v>
      </c>
      <c r="L65" s="94"/>
      <c r="M65" s="6" t="s">
        <v>185</v>
      </c>
      <c r="N65" s="10">
        <v>0.01</v>
      </c>
      <c r="O65" s="9" t="s">
        <v>39</v>
      </c>
      <c r="P65" s="234">
        <v>0.1</v>
      </c>
      <c r="Q65" s="23"/>
      <c r="R65" s="28" t="s">
        <v>3052</v>
      </c>
      <c r="S65" s="7" t="s">
        <v>127</v>
      </c>
      <c r="T65" s="6" t="s">
        <v>3053</v>
      </c>
      <c r="U65" s="6" t="s">
        <v>202</v>
      </c>
      <c r="V65" s="24" t="e">
        <f t="shared" ca="1" si="2"/>
        <v>#NAME?</v>
      </c>
      <c r="W65" s="24"/>
      <c r="X65" s="24"/>
      <c r="Y65" s="6" t="s">
        <v>240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2929</v>
      </c>
      <c r="B66" s="3" t="s">
        <v>3054</v>
      </c>
      <c r="C66" s="9">
        <v>32441</v>
      </c>
      <c r="D66" s="9" t="s">
        <v>19</v>
      </c>
      <c r="E66" s="9" t="s">
        <v>35</v>
      </c>
      <c r="F66" s="9" t="s">
        <v>250</v>
      </c>
      <c r="G66" s="7" t="e">
        <f t="shared" ca="1" si="0"/>
        <v>#NAME?</v>
      </c>
      <c r="H66" s="8" t="s">
        <v>145</v>
      </c>
      <c r="I66" s="24" t="s">
        <v>146</v>
      </c>
      <c r="J66" s="9" t="str">
        <f t="shared" si="1"/>
        <v>Não</v>
      </c>
      <c r="K66" s="232">
        <v>44319</v>
      </c>
      <c r="L66" s="6"/>
      <c r="M66" s="6" t="s">
        <v>185</v>
      </c>
      <c r="N66" s="10">
        <v>0.01</v>
      </c>
      <c r="O66" s="9" t="s">
        <v>39</v>
      </c>
      <c r="P66" s="234">
        <v>0.1</v>
      </c>
      <c r="Q66" s="45"/>
      <c r="R66" s="28" t="s">
        <v>3055</v>
      </c>
      <c r="S66" s="7" t="s">
        <v>127</v>
      </c>
      <c r="T66" s="6" t="s">
        <v>3056</v>
      </c>
      <c r="U66" s="6" t="s">
        <v>202</v>
      </c>
      <c r="V66" s="24" t="e">
        <f t="shared" ca="1" si="2"/>
        <v>#NAME?</v>
      </c>
      <c r="W66" s="24"/>
      <c r="X66" s="24"/>
      <c r="Y66" s="6" t="s">
        <v>129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2929</v>
      </c>
      <c r="B67" s="3" t="s">
        <v>3057</v>
      </c>
      <c r="C67" s="9">
        <v>447493</v>
      </c>
      <c r="D67" s="9" t="s">
        <v>2931</v>
      </c>
      <c r="E67" s="9" t="s">
        <v>20</v>
      </c>
      <c r="F67" s="6" t="s">
        <v>2932</v>
      </c>
      <c r="G67" s="7" t="e">
        <f t="shared" ca="1" si="0"/>
        <v>#NAME?</v>
      </c>
      <c r="H67" s="8" t="s">
        <v>125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185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127</v>
      </c>
      <c r="T67" s="6" t="s">
        <v>3058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2940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2929</v>
      </c>
      <c r="B68" s="3" t="s">
        <v>604</v>
      </c>
      <c r="C68" s="9">
        <v>484477</v>
      </c>
      <c r="D68" s="9" t="s">
        <v>19</v>
      </c>
      <c r="E68" s="9" t="s">
        <v>35</v>
      </c>
      <c r="F68" s="6" t="s">
        <v>606</v>
      </c>
      <c r="G68" s="7" t="e">
        <f t="shared" ca="1" si="0"/>
        <v>#NAME?</v>
      </c>
      <c r="H68" s="8" t="s">
        <v>125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127</v>
      </c>
      <c r="T68" s="6" t="s">
        <v>607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2940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2929</v>
      </c>
      <c r="B69" s="37" t="s">
        <v>604</v>
      </c>
      <c r="C69" s="9">
        <v>37718</v>
      </c>
      <c r="D69" s="9" t="s">
        <v>19</v>
      </c>
      <c r="E69" s="9" t="s">
        <v>35</v>
      </c>
      <c r="F69" s="9" t="s">
        <v>606</v>
      </c>
      <c r="G69" s="7" t="e">
        <f t="shared" ca="1" si="0"/>
        <v>#NAME?</v>
      </c>
      <c r="H69" s="8" t="s">
        <v>145</v>
      </c>
      <c r="I69" s="24" t="s">
        <v>146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3052</v>
      </c>
      <c r="S69" s="7" t="s">
        <v>127</v>
      </c>
      <c r="T69" s="6" t="s">
        <v>607</v>
      </c>
      <c r="U69" s="6" t="s">
        <v>41</v>
      </c>
      <c r="V69" s="24" t="e">
        <f t="shared" ca="1" si="2"/>
        <v>#NAME?</v>
      </c>
      <c r="W69" s="24"/>
      <c r="X69" s="24"/>
      <c r="Y69" s="6" t="s">
        <v>129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2929</v>
      </c>
      <c r="B70" s="37" t="s">
        <v>3059</v>
      </c>
      <c r="C70" s="9">
        <v>318729</v>
      </c>
      <c r="D70" s="9" t="s">
        <v>2931</v>
      </c>
      <c r="E70" s="9" t="s">
        <v>20</v>
      </c>
      <c r="F70" s="6" t="s">
        <v>2932</v>
      </c>
      <c r="G70" s="7" t="e">
        <f t="shared" ca="1" si="0"/>
        <v>#NAME?</v>
      </c>
      <c r="H70" s="8" t="s">
        <v>125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185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127</v>
      </c>
      <c r="T70" s="6" t="s">
        <v>3060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2940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2929</v>
      </c>
      <c r="B71" s="106" t="s">
        <v>635</v>
      </c>
      <c r="C71" s="9">
        <v>33153</v>
      </c>
      <c r="D71" s="9" t="s">
        <v>19</v>
      </c>
      <c r="E71" s="9" t="s">
        <v>35</v>
      </c>
      <c r="F71" s="9" t="s">
        <v>2979</v>
      </c>
      <c r="G71" s="7" t="e">
        <f t="shared" ca="1" si="0"/>
        <v>#NAME?</v>
      </c>
      <c r="H71" s="8" t="s">
        <v>145</v>
      </c>
      <c r="I71" s="24" t="s">
        <v>146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3061</v>
      </c>
      <c r="R71" s="108"/>
      <c r="S71" s="7" t="s">
        <v>127</v>
      </c>
      <c r="T71" s="9" t="s">
        <v>638</v>
      </c>
      <c r="U71" s="6" t="s">
        <v>202</v>
      </c>
      <c r="V71" s="24" t="e">
        <f t="shared" ca="1" si="2"/>
        <v>#NAME?</v>
      </c>
      <c r="W71" s="24"/>
      <c r="X71" s="24"/>
      <c r="Y71" s="6" t="s">
        <v>240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2929</v>
      </c>
      <c r="B72" s="3" t="s">
        <v>639</v>
      </c>
      <c r="C72" s="9">
        <v>474439</v>
      </c>
      <c r="D72" s="9" t="s">
        <v>19</v>
      </c>
      <c r="E72" s="9" t="s">
        <v>35</v>
      </c>
      <c r="F72" s="6" t="s">
        <v>199</v>
      </c>
      <c r="G72" s="7" t="e">
        <f t="shared" ca="1" si="0"/>
        <v>#NAME?</v>
      </c>
      <c r="H72" s="8" t="s">
        <v>145</v>
      </c>
      <c r="I72" s="24" t="s">
        <v>146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3062</v>
      </c>
      <c r="R72" s="28"/>
      <c r="S72" s="7" t="s">
        <v>127</v>
      </c>
      <c r="T72" s="6" t="s">
        <v>641</v>
      </c>
      <c r="U72" s="7" t="s">
        <v>202</v>
      </c>
      <c r="V72" s="24" t="e">
        <f t="shared" ca="1" si="2"/>
        <v>#NAME?</v>
      </c>
      <c r="W72" s="24"/>
      <c r="X72" s="24"/>
      <c r="Y72" s="6" t="s">
        <v>240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2929</v>
      </c>
      <c r="B73" s="3" t="s">
        <v>3063</v>
      </c>
      <c r="C73" s="9">
        <v>424833</v>
      </c>
      <c r="D73" s="9" t="s">
        <v>19</v>
      </c>
      <c r="E73" s="9" t="s">
        <v>35</v>
      </c>
      <c r="F73" s="9" t="s">
        <v>199</v>
      </c>
      <c r="G73" s="7" t="e">
        <f t="shared" ca="1" si="0"/>
        <v>#NAME?</v>
      </c>
      <c r="H73" s="8" t="s">
        <v>134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185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127</v>
      </c>
      <c r="T73" s="6" t="s">
        <v>3064</v>
      </c>
      <c r="U73" s="6" t="s">
        <v>202</v>
      </c>
      <c r="V73" s="24" t="e">
        <f t="shared" ca="1" si="2"/>
        <v>#NAME?</v>
      </c>
      <c r="W73" s="24"/>
      <c r="X73" s="24"/>
      <c r="Y73" s="6" t="s">
        <v>240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2929</v>
      </c>
      <c r="B74" s="37" t="s">
        <v>657</v>
      </c>
      <c r="C74" s="9">
        <v>253798</v>
      </c>
      <c r="D74" s="9" t="s">
        <v>19</v>
      </c>
      <c r="E74" s="9" t="s">
        <v>35</v>
      </c>
      <c r="F74" s="9" t="s">
        <v>250</v>
      </c>
      <c r="G74" s="7" t="e">
        <f t="shared" ca="1" si="0"/>
        <v>#NAME?</v>
      </c>
      <c r="H74" s="8" t="s">
        <v>145</v>
      </c>
      <c r="I74" s="24" t="s">
        <v>146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127</v>
      </c>
      <c r="T74" s="6" t="s">
        <v>659</v>
      </c>
      <c r="U74" s="6" t="s">
        <v>202</v>
      </c>
      <c r="V74" s="24" t="e">
        <f t="shared" ca="1" si="2"/>
        <v>#NAME?</v>
      </c>
      <c r="W74" s="24"/>
      <c r="X74" s="24"/>
      <c r="Y74" s="6" t="s">
        <v>240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2929</v>
      </c>
      <c r="B75" s="3" t="s">
        <v>664</v>
      </c>
      <c r="C75" s="9">
        <v>32208</v>
      </c>
      <c r="D75" s="9" t="s">
        <v>19</v>
      </c>
      <c r="E75" s="9" t="s">
        <v>35</v>
      </c>
      <c r="F75" s="9" t="s">
        <v>199</v>
      </c>
      <c r="G75" s="7" t="e">
        <f t="shared" ca="1" si="0"/>
        <v>#NAME?</v>
      </c>
      <c r="H75" s="8" t="s">
        <v>145</v>
      </c>
      <c r="I75" s="24" t="s">
        <v>146</v>
      </c>
      <c r="J75" s="9" t="str">
        <f t="shared" si="1"/>
        <v>Não</v>
      </c>
      <c r="K75" s="107">
        <v>44273</v>
      </c>
      <c r="L75" s="7"/>
      <c r="M75" s="6" t="s">
        <v>185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127</v>
      </c>
      <c r="T75" s="6" t="s">
        <v>666</v>
      </c>
      <c r="U75" s="6" t="s">
        <v>202</v>
      </c>
      <c r="V75" s="24" t="e">
        <f t="shared" ca="1" si="2"/>
        <v>#NAME?</v>
      </c>
      <c r="W75" s="24"/>
      <c r="X75" s="24"/>
      <c r="Y75" s="6" t="s">
        <v>240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2929</v>
      </c>
      <c r="B76" s="37" t="s">
        <v>3065</v>
      </c>
      <c r="C76" s="9">
        <v>578989</v>
      </c>
      <c r="D76" s="9" t="s">
        <v>2931</v>
      </c>
      <c r="E76" s="9" t="s">
        <v>20</v>
      </c>
      <c r="F76" s="6" t="s">
        <v>2938</v>
      </c>
      <c r="G76" s="7" t="e">
        <f t="shared" ca="1" si="0"/>
        <v>#NAME?</v>
      </c>
      <c r="H76" s="8" t="s">
        <v>125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242</v>
      </c>
      <c r="N76" s="10">
        <v>0.02</v>
      </c>
      <c r="O76" s="9" t="s">
        <v>167</v>
      </c>
      <c r="P76" s="234">
        <v>0.2</v>
      </c>
      <c r="Q76" s="108"/>
      <c r="R76" s="108"/>
      <c r="S76" s="7" t="s">
        <v>127</v>
      </c>
      <c r="T76" s="6" t="s">
        <v>3066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2940</v>
      </c>
      <c r="BH76" s="110">
        <v>0</v>
      </c>
      <c r="BI76" s="110" t="s">
        <v>2940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2929</v>
      </c>
      <c r="B77" s="37" t="s">
        <v>3065</v>
      </c>
      <c r="C77" s="9">
        <v>80764</v>
      </c>
      <c r="D77" s="9" t="s">
        <v>2931</v>
      </c>
      <c r="E77" s="9" t="s">
        <v>20</v>
      </c>
      <c r="F77" s="6" t="s">
        <v>2938</v>
      </c>
      <c r="G77" s="7" t="e">
        <f t="shared" ca="1" si="0"/>
        <v>#NAME?</v>
      </c>
      <c r="H77" s="8" t="s">
        <v>125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127</v>
      </c>
      <c r="T77" s="6" t="s">
        <v>3066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2940</v>
      </c>
      <c r="BH77" s="110">
        <v>0</v>
      </c>
      <c r="BI77" s="110" t="s">
        <v>2940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2929</v>
      </c>
      <c r="B78" s="3" t="s">
        <v>3067</v>
      </c>
      <c r="C78" s="9">
        <v>48783</v>
      </c>
      <c r="D78" s="9" t="s">
        <v>19</v>
      </c>
      <c r="E78" s="9" t="s">
        <v>35</v>
      </c>
      <c r="F78" s="6" t="s">
        <v>250</v>
      </c>
      <c r="G78" s="7" t="e">
        <f t="shared" ca="1" si="0"/>
        <v>#NAME?</v>
      </c>
      <c r="H78" s="8" t="s">
        <v>145</v>
      </c>
      <c r="I78" s="24" t="s">
        <v>146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127</v>
      </c>
      <c r="T78" s="6" t="s">
        <v>683</v>
      </c>
      <c r="U78" s="6" t="s">
        <v>202</v>
      </c>
      <c r="V78" s="24" t="e">
        <f t="shared" ca="1" si="2"/>
        <v>#NAME?</v>
      </c>
      <c r="W78" s="24"/>
      <c r="X78" s="24"/>
      <c r="Y78" s="6" t="s">
        <v>240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2929</v>
      </c>
      <c r="B79" s="37" t="s">
        <v>3068</v>
      </c>
      <c r="C79" s="9">
        <v>325711</v>
      </c>
      <c r="D79" s="9" t="s">
        <v>2931</v>
      </c>
      <c r="E79" s="9" t="s">
        <v>20</v>
      </c>
      <c r="F79" s="6" t="s">
        <v>2932</v>
      </c>
      <c r="G79" s="7" t="e">
        <f t="shared" ca="1" si="0"/>
        <v>#NAME?</v>
      </c>
      <c r="H79" s="8" t="s">
        <v>125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242</v>
      </c>
      <c r="N79" s="10">
        <v>2.5000000000000001E-2</v>
      </c>
      <c r="O79" s="9" t="s">
        <v>167</v>
      </c>
      <c r="P79" s="234">
        <v>0.2</v>
      </c>
      <c r="Q79" s="108"/>
      <c r="R79" s="108"/>
      <c r="S79" s="7" t="s">
        <v>127</v>
      </c>
      <c r="T79" s="6" t="s">
        <v>3069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2940</v>
      </c>
      <c r="BH79" s="110">
        <v>0</v>
      </c>
      <c r="BI79" s="110" t="s">
        <v>2940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2929</v>
      </c>
      <c r="B80" s="37" t="s">
        <v>3068</v>
      </c>
      <c r="C80" s="9">
        <v>33186</v>
      </c>
      <c r="D80" s="9" t="s">
        <v>2931</v>
      </c>
      <c r="E80" s="9" t="s">
        <v>20</v>
      </c>
      <c r="F80" s="6" t="s">
        <v>2932</v>
      </c>
      <c r="G80" s="7" t="e">
        <f t="shared" ca="1" si="0"/>
        <v>#NAME?</v>
      </c>
      <c r="H80" s="8" t="s">
        <v>125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185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127</v>
      </c>
      <c r="T80" s="6" t="s">
        <v>3069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2940</v>
      </c>
      <c r="BH80" s="110">
        <v>0</v>
      </c>
      <c r="BI80" s="110" t="s">
        <v>2940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2929</v>
      </c>
      <c r="B81" s="3" t="s">
        <v>3070</v>
      </c>
      <c r="C81" s="9">
        <v>441042</v>
      </c>
      <c r="D81" s="9" t="s">
        <v>19</v>
      </c>
      <c r="E81" s="9" t="s">
        <v>35</v>
      </c>
      <c r="F81" s="6" t="s">
        <v>199</v>
      </c>
      <c r="G81" s="7" t="e">
        <f t="shared" ca="1" si="0"/>
        <v>#NAME?</v>
      </c>
      <c r="H81" s="8" t="s">
        <v>145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3071</v>
      </c>
      <c r="S81" s="7" t="s">
        <v>127</v>
      </c>
      <c r="T81" s="6" t="s">
        <v>3072</v>
      </c>
      <c r="U81" s="6" t="s">
        <v>202</v>
      </c>
      <c r="V81" s="24" t="e">
        <f t="shared" ca="1" si="2"/>
        <v>#NAME?</v>
      </c>
      <c r="W81" s="24"/>
      <c r="X81" s="24"/>
      <c r="Y81" s="6" t="s">
        <v>240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2929</v>
      </c>
      <c r="B82" s="3" t="s">
        <v>3073</v>
      </c>
      <c r="C82" s="9">
        <v>37885</v>
      </c>
      <c r="D82" s="9" t="s">
        <v>2931</v>
      </c>
      <c r="E82" s="9" t="s">
        <v>20</v>
      </c>
      <c r="F82" s="6" t="s">
        <v>2932</v>
      </c>
      <c r="G82" s="7" t="e">
        <f t="shared" ca="1" si="0"/>
        <v>#NAME?</v>
      </c>
      <c r="H82" s="8" t="s">
        <v>125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185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127</v>
      </c>
      <c r="T82" s="6" t="s">
        <v>3074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2940</v>
      </c>
      <c r="BH82" s="110">
        <v>0</v>
      </c>
      <c r="BI82" s="110" t="s">
        <v>2940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2929</v>
      </c>
      <c r="B83" s="3" t="s">
        <v>3075</v>
      </c>
      <c r="C83" s="9">
        <v>32368</v>
      </c>
      <c r="D83" s="9" t="s">
        <v>2931</v>
      </c>
      <c r="E83" s="9" t="s">
        <v>20</v>
      </c>
      <c r="F83" s="6" t="s">
        <v>2932</v>
      </c>
      <c r="G83" s="7" t="e">
        <f t="shared" ca="1" si="0"/>
        <v>#NAME?</v>
      </c>
      <c r="H83" s="8" t="s">
        <v>125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127</v>
      </c>
      <c r="T83" s="6" t="s">
        <v>3076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2940</v>
      </c>
      <c r="BH83" s="110">
        <v>0</v>
      </c>
      <c r="BI83" s="110" t="s">
        <v>2940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2929</v>
      </c>
      <c r="B84" s="3" t="s">
        <v>727</v>
      </c>
      <c r="C84" s="9">
        <v>455761</v>
      </c>
      <c r="D84" s="9" t="s">
        <v>19</v>
      </c>
      <c r="E84" s="9" t="s">
        <v>35</v>
      </c>
      <c r="F84" s="6" t="s">
        <v>199</v>
      </c>
      <c r="G84" s="7" t="e">
        <f t="shared" ca="1" si="0"/>
        <v>#NAME?</v>
      </c>
      <c r="H84" s="8" t="s">
        <v>145</v>
      </c>
      <c r="I84" s="24" t="s">
        <v>146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127</v>
      </c>
      <c r="T84" s="6" t="s">
        <v>3077</v>
      </c>
      <c r="U84" s="6" t="s">
        <v>202</v>
      </c>
      <c r="V84" s="24" t="e">
        <f t="shared" ca="1" si="2"/>
        <v>#NAME?</v>
      </c>
      <c r="W84" s="24"/>
      <c r="X84" s="24"/>
      <c r="Y84" s="6" t="s">
        <v>240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2929</v>
      </c>
      <c r="B85" s="3" t="s">
        <v>727</v>
      </c>
      <c r="C85" s="9">
        <v>362237</v>
      </c>
      <c r="D85" s="9" t="s">
        <v>19</v>
      </c>
      <c r="E85" s="9" t="s">
        <v>35</v>
      </c>
      <c r="F85" s="6" t="s">
        <v>199</v>
      </c>
      <c r="G85" s="7" t="e">
        <f t="shared" ca="1" si="0"/>
        <v>#NAME?</v>
      </c>
      <c r="H85" s="8" t="s">
        <v>145</v>
      </c>
      <c r="I85" s="24" t="s">
        <v>146</v>
      </c>
      <c r="J85" s="9" t="str">
        <f t="shared" si="1"/>
        <v>Não</v>
      </c>
      <c r="K85" s="107">
        <v>44860</v>
      </c>
      <c r="L85" s="6"/>
      <c r="M85" s="6" t="s">
        <v>245</v>
      </c>
      <c r="N85" s="10">
        <v>8.0000000000000002E-3</v>
      </c>
      <c r="O85" s="9" t="s">
        <v>246</v>
      </c>
      <c r="P85" s="234">
        <v>0.1</v>
      </c>
      <c r="Q85" s="28"/>
      <c r="R85" s="255"/>
      <c r="S85" s="7" t="s">
        <v>127</v>
      </c>
      <c r="T85" s="6" t="s">
        <v>730</v>
      </c>
      <c r="U85" s="6" t="s">
        <v>202</v>
      </c>
      <c r="V85" s="24" t="e">
        <f t="shared" ca="1" si="2"/>
        <v>#NAME?</v>
      </c>
      <c r="W85" s="24"/>
      <c r="X85" s="24"/>
      <c r="Y85" s="6" t="s">
        <v>240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2929</v>
      </c>
      <c r="B86" s="3" t="s">
        <v>736</v>
      </c>
      <c r="C86" s="9">
        <v>36371</v>
      </c>
      <c r="D86" s="9" t="s">
        <v>19</v>
      </c>
      <c r="E86" s="9" t="s">
        <v>35</v>
      </c>
      <c r="F86" s="9" t="s">
        <v>199</v>
      </c>
      <c r="G86" s="7" t="e">
        <f t="shared" ca="1" si="0"/>
        <v>#NAME?</v>
      </c>
      <c r="H86" s="8" t="s">
        <v>145</v>
      </c>
      <c r="I86" s="24" t="s">
        <v>146</v>
      </c>
      <c r="J86" s="9" t="str">
        <f t="shared" si="1"/>
        <v>Sim</v>
      </c>
      <c r="K86" s="107">
        <v>44280</v>
      </c>
      <c r="L86" s="6"/>
      <c r="M86" s="6" t="s">
        <v>185</v>
      </c>
      <c r="N86" s="10">
        <v>1.4999999999999999E-2</v>
      </c>
      <c r="O86" s="9" t="s">
        <v>39</v>
      </c>
      <c r="P86" s="234">
        <v>0.1</v>
      </c>
      <c r="Q86" s="28" t="s">
        <v>3078</v>
      </c>
      <c r="R86" s="255"/>
      <c r="S86" s="7" t="s">
        <v>127</v>
      </c>
      <c r="T86" s="6" t="s">
        <v>738</v>
      </c>
      <c r="U86" s="6" t="s">
        <v>202</v>
      </c>
      <c r="V86" s="24" t="e">
        <f t="shared" ca="1" si="2"/>
        <v>#NAME?</v>
      </c>
      <c r="W86" s="24"/>
      <c r="X86" s="24"/>
      <c r="Y86" s="6" t="s">
        <v>240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2929</v>
      </c>
      <c r="B87" s="37" t="s">
        <v>736</v>
      </c>
      <c r="C87" s="9">
        <v>560488</v>
      </c>
      <c r="D87" s="9" t="s">
        <v>19</v>
      </c>
      <c r="E87" s="9" t="s">
        <v>35</v>
      </c>
      <c r="F87" s="9" t="s">
        <v>199</v>
      </c>
      <c r="G87" s="7" t="e">
        <f t="shared" ca="1" si="0"/>
        <v>#NAME?</v>
      </c>
      <c r="H87" s="8" t="s">
        <v>145</v>
      </c>
      <c r="I87" s="24" t="s">
        <v>146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127</v>
      </c>
      <c r="T87" s="6" t="s">
        <v>738</v>
      </c>
      <c r="U87" s="6" t="s">
        <v>202</v>
      </c>
      <c r="V87" s="24" t="e">
        <f t="shared" ca="1" si="2"/>
        <v>#NAME?</v>
      </c>
      <c r="W87" s="24"/>
      <c r="X87" s="24"/>
      <c r="Y87" s="6" t="s">
        <v>240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2929</v>
      </c>
      <c r="B88" s="36" t="s">
        <v>3079</v>
      </c>
      <c r="C88" s="9">
        <v>266130</v>
      </c>
      <c r="D88" s="9" t="s">
        <v>19</v>
      </c>
      <c r="E88" s="9" t="s">
        <v>20</v>
      </c>
      <c r="F88" s="9" t="s">
        <v>3080</v>
      </c>
      <c r="G88" s="7" t="e">
        <f t="shared" ca="1" si="0"/>
        <v>#NAME?</v>
      </c>
      <c r="H88" s="8" t="s">
        <v>145</v>
      </c>
      <c r="I88" s="24" t="s">
        <v>146</v>
      </c>
      <c r="J88" s="9" t="str">
        <f t="shared" si="1"/>
        <v>Não</v>
      </c>
      <c r="K88" s="238">
        <v>43416</v>
      </c>
      <c r="L88" s="6"/>
      <c r="M88" s="6" t="s">
        <v>242</v>
      </c>
      <c r="N88" s="233">
        <v>0.03</v>
      </c>
      <c r="O88" s="9" t="s">
        <v>167</v>
      </c>
      <c r="P88" s="234">
        <v>0.2</v>
      </c>
      <c r="Q88" s="108"/>
      <c r="R88" s="108"/>
      <c r="S88" s="7" t="s">
        <v>171</v>
      </c>
      <c r="T88" s="9" t="s">
        <v>3081</v>
      </c>
      <c r="U88" s="6" t="s">
        <v>41</v>
      </c>
      <c r="V88" s="24" t="e">
        <f t="shared" ca="1" si="2"/>
        <v>#NAME?</v>
      </c>
      <c r="W88" s="24"/>
      <c r="X88" s="24"/>
      <c r="Y88" s="6" t="s">
        <v>240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2940</v>
      </c>
      <c r="BH88" s="237">
        <v>0</v>
      </c>
      <c r="BI88" s="237" t="s">
        <v>2940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2929</v>
      </c>
      <c r="B89" s="3" t="s">
        <v>3082</v>
      </c>
      <c r="C89" s="9">
        <v>452899</v>
      </c>
      <c r="D89" s="9" t="s">
        <v>19</v>
      </c>
      <c r="E89" s="9" t="s">
        <v>35</v>
      </c>
      <c r="F89" s="6" t="s">
        <v>199</v>
      </c>
      <c r="G89" s="7" t="e">
        <f t="shared" ca="1" si="0"/>
        <v>#NAME?</v>
      </c>
      <c r="H89" s="8" t="s">
        <v>125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242</v>
      </c>
      <c r="N89" s="10">
        <v>2.5000000000000001E-2</v>
      </c>
      <c r="O89" s="9" t="s">
        <v>167</v>
      </c>
      <c r="P89" s="234">
        <v>0.2</v>
      </c>
      <c r="Q89" s="108"/>
      <c r="R89" s="108"/>
      <c r="S89" s="7" t="s">
        <v>127</v>
      </c>
      <c r="T89" s="6" t="s">
        <v>3083</v>
      </c>
      <c r="U89" s="6" t="s">
        <v>202</v>
      </c>
      <c r="V89" s="24" t="e">
        <f t="shared" ca="1" si="2"/>
        <v>#NAME?</v>
      </c>
      <c r="W89" s="24"/>
      <c r="X89" s="24"/>
      <c r="Y89" s="6" t="s">
        <v>240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2940</v>
      </c>
      <c r="BH89" s="110">
        <v>0</v>
      </c>
      <c r="BI89" s="110" t="s">
        <v>2940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2929</v>
      </c>
      <c r="B90" s="37" t="s">
        <v>3084</v>
      </c>
      <c r="C90" s="9">
        <v>467488</v>
      </c>
      <c r="D90" s="9" t="s">
        <v>2931</v>
      </c>
      <c r="E90" s="9" t="s">
        <v>20</v>
      </c>
      <c r="F90" s="6" t="s">
        <v>2931</v>
      </c>
      <c r="G90" s="7" t="e">
        <f t="shared" ca="1" si="0"/>
        <v>#NAME?</v>
      </c>
      <c r="H90" s="8" t="s">
        <v>125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185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171</v>
      </c>
      <c r="T90" s="6" t="s">
        <v>3085</v>
      </c>
      <c r="U90" s="6" t="s">
        <v>20</v>
      </c>
      <c r="V90" s="24" t="e">
        <f t="shared" ca="1" si="2"/>
        <v>#NAME?</v>
      </c>
      <c r="W90" s="24"/>
      <c r="X90" s="24"/>
      <c r="Y90" s="6" t="s">
        <v>240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2940</v>
      </c>
      <c r="BH90" s="110">
        <v>0</v>
      </c>
      <c r="BI90" s="110" t="s">
        <v>2940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2929</v>
      </c>
      <c r="B91" s="37" t="s">
        <v>3086</v>
      </c>
      <c r="C91" s="9">
        <v>467483</v>
      </c>
      <c r="D91" s="9" t="s">
        <v>2931</v>
      </c>
      <c r="E91" s="9" t="s">
        <v>20</v>
      </c>
      <c r="F91" s="6" t="s">
        <v>2931</v>
      </c>
      <c r="G91" s="7" t="e">
        <f t="shared" ca="1" si="0"/>
        <v>#NAME?</v>
      </c>
      <c r="H91" s="8" t="s">
        <v>125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185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171</v>
      </c>
      <c r="T91" s="6" t="s">
        <v>3087</v>
      </c>
      <c r="U91" s="6" t="s">
        <v>20</v>
      </c>
      <c r="V91" s="24" t="e">
        <f t="shared" ca="1" si="2"/>
        <v>#NAME?</v>
      </c>
      <c r="W91" s="24"/>
      <c r="X91" s="24"/>
      <c r="Y91" s="6" t="s">
        <v>240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2940</v>
      </c>
      <c r="BH91" s="110">
        <v>0</v>
      </c>
      <c r="BI91" s="110" t="s">
        <v>2940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2929</v>
      </c>
      <c r="B92" s="37" t="s">
        <v>3088</v>
      </c>
      <c r="C92" s="9">
        <v>32091</v>
      </c>
      <c r="D92" s="9" t="s">
        <v>19</v>
      </c>
      <c r="E92" s="9" t="s">
        <v>35</v>
      </c>
      <c r="F92" s="6" t="s">
        <v>199</v>
      </c>
      <c r="G92" s="7" t="e">
        <f t="shared" ca="1" si="0"/>
        <v>#NAME?</v>
      </c>
      <c r="H92" s="8" t="s">
        <v>125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185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127</v>
      </c>
      <c r="T92" s="6" t="s">
        <v>3089</v>
      </c>
      <c r="U92" s="6" t="s">
        <v>202</v>
      </c>
      <c r="V92" s="24" t="e">
        <f t="shared" ca="1" si="2"/>
        <v>#NAME?</v>
      </c>
      <c r="W92" s="24"/>
      <c r="X92" s="24"/>
      <c r="Y92" s="6" t="s">
        <v>240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2940</v>
      </c>
      <c r="BH92" s="110">
        <v>0</v>
      </c>
      <c r="BI92" s="110" t="s">
        <v>2940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2929</v>
      </c>
      <c r="B93" s="37" t="s">
        <v>3090</v>
      </c>
      <c r="C93" s="9">
        <v>86633</v>
      </c>
      <c r="D93" s="9" t="s">
        <v>2997</v>
      </c>
      <c r="E93" s="9" t="s">
        <v>20</v>
      </c>
      <c r="F93" s="6" t="s">
        <v>2997</v>
      </c>
      <c r="G93" s="7" t="e">
        <f t="shared" ca="1" si="0"/>
        <v>#NAME?</v>
      </c>
      <c r="H93" s="8" t="s">
        <v>125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242</v>
      </c>
      <c r="N93" s="10">
        <v>0.01</v>
      </c>
      <c r="O93" s="9" t="s">
        <v>25</v>
      </c>
      <c r="P93" s="234">
        <v>0</v>
      </c>
      <c r="R93" s="108" t="s">
        <v>3091</v>
      </c>
      <c r="S93" s="7" t="s">
        <v>127</v>
      </c>
      <c r="T93" s="6" t="s">
        <v>3092</v>
      </c>
      <c r="U93" s="6" t="s">
        <v>20</v>
      </c>
      <c r="V93" s="24" t="e">
        <f t="shared" ca="1" si="2"/>
        <v>#NAME?</v>
      </c>
      <c r="W93" s="24"/>
      <c r="X93" s="24"/>
      <c r="Y93" s="6" t="s">
        <v>240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2929</v>
      </c>
      <c r="B94" s="3" t="s">
        <v>3093</v>
      </c>
      <c r="C94" s="9">
        <v>43175</v>
      </c>
      <c r="D94" s="9" t="s">
        <v>19</v>
      </c>
      <c r="E94" s="9" t="s">
        <v>35</v>
      </c>
      <c r="F94" s="6" t="s">
        <v>250</v>
      </c>
      <c r="G94" s="7" t="e">
        <f t="shared" ca="1" si="0"/>
        <v>#NAME?</v>
      </c>
      <c r="H94" s="8" t="s">
        <v>125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454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171</v>
      </c>
      <c r="T94" s="6" t="s">
        <v>3094</v>
      </c>
      <c r="U94" s="6" t="s">
        <v>202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2940</v>
      </c>
      <c r="BH94" s="110">
        <v>0</v>
      </c>
      <c r="BI94" s="110" t="s">
        <v>2940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2929</v>
      </c>
      <c r="B95" s="3" t="s">
        <v>3095</v>
      </c>
      <c r="C95" s="9">
        <v>435801</v>
      </c>
      <c r="D95" s="9" t="s">
        <v>19</v>
      </c>
      <c r="E95" s="9" t="s">
        <v>20</v>
      </c>
      <c r="F95" s="9" t="s">
        <v>155</v>
      </c>
      <c r="G95" s="7" t="e">
        <f t="shared" ca="1" si="0"/>
        <v>#NAME?</v>
      </c>
      <c r="H95" s="8" t="s">
        <v>134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3096</v>
      </c>
      <c r="R95" s="108" t="s">
        <v>3097</v>
      </c>
      <c r="S95" s="7" t="s">
        <v>127</v>
      </c>
      <c r="T95" s="6" t="s">
        <v>3098</v>
      </c>
      <c r="U95" s="6" t="s">
        <v>20</v>
      </c>
      <c r="V95" s="24" t="e">
        <f t="shared" ca="1" si="2"/>
        <v>#NAME?</v>
      </c>
      <c r="W95" s="24"/>
      <c r="X95" s="24"/>
      <c r="Y95" s="6" t="s">
        <v>240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2929</v>
      </c>
      <c r="B96" s="3" t="s">
        <v>3099</v>
      </c>
      <c r="C96" s="9">
        <v>363494</v>
      </c>
      <c r="D96" s="9" t="s">
        <v>19</v>
      </c>
      <c r="E96" s="9" t="s">
        <v>35</v>
      </c>
      <c r="F96" s="6" t="s">
        <v>199</v>
      </c>
      <c r="G96" s="7" t="e">
        <f t="shared" ca="1" si="0"/>
        <v>#NAME?</v>
      </c>
      <c r="H96" s="8" t="s">
        <v>145</v>
      </c>
      <c r="I96" s="24" t="s">
        <v>146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3100</v>
      </c>
      <c r="S96" s="7" t="s">
        <v>127</v>
      </c>
      <c r="T96" s="6" t="s">
        <v>3101</v>
      </c>
      <c r="U96" s="6" t="s">
        <v>202</v>
      </c>
      <c r="V96" s="24" t="e">
        <f t="shared" ca="1" si="2"/>
        <v>#NAME?</v>
      </c>
      <c r="W96" s="24"/>
      <c r="X96" s="24"/>
      <c r="Y96" s="6" t="s">
        <v>240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2929</v>
      </c>
      <c r="B97" s="3" t="s">
        <v>828</v>
      </c>
      <c r="C97" s="9">
        <v>79850</v>
      </c>
      <c r="D97" s="9" t="s">
        <v>19</v>
      </c>
      <c r="E97" s="9" t="s">
        <v>35</v>
      </c>
      <c r="F97" s="9" t="s">
        <v>2979</v>
      </c>
      <c r="G97" s="7" t="e">
        <f t="shared" ca="1" si="0"/>
        <v>#NAME?</v>
      </c>
      <c r="H97" s="8" t="s">
        <v>145</v>
      </c>
      <c r="I97" s="24" t="s">
        <v>146</v>
      </c>
      <c r="J97" s="9" t="str">
        <f t="shared" si="3"/>
        <v>Não</v>
      </c>
      <c r="K97" s="232">
        <v>44299</v>
      </c>
      <c r="L97" s="6"/>
      <c r="M97" s="6" t="s">
        <v>185</v>
      </c>
      <c r="N97" s="10">
        <v>1.4999999999999999E-2</v>
      </c>
      <c r="O97" s="9" t="s">
        <v>39</v>
      </c>
      <c r="P97" s="234">
        <v>0.1</v>
      </c>
      <c r="Q97" s="45"/>
      <c r="R97" s="108" t="s">
        <v>3102</v>
      </c>
      <c r="S97" s="7" t="s">
        <v>127</v>
      </c>
      <c r="T97" s="6" t="s">
        <v>831</v>
      </c>
      <c r="U97" s="6" t="s">
        <v>202</v>
      </c>
      <c r="V97" s="24" t="e">
        <f t="shared" ca="1" si="2"/>
        <v>#NAME?</v>
      </c>
      <c r="W97" s="24"/>
      <c r="X97" s="24"/>
      <c r="Y97" s="6" t="s">
        <v>240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2929</v>
      </c>
      <c r="B98" s="3" t="s">
        <v>3103</v>
      </c>
      <c r="C98" s="9">
        <v>449049</v>
      </c>
      <c r="D98" s="9" t="s">
        <v>2931</v>
      </c>
      <c r="E98" s="9" t="s">
        <v>20</v>
      </c>
      <c r="F98" s="9" t="s">
        <v>2932</v>
      </c>
      <c r="G98" s="7" t="e">
        <f t="shared" ca="1" si="0"/>
        <v>#NAME?</v>
      </c>
      <c r="H98" s="8" t="s">
        <v>145</v>
      </c>
      <c r="I98" s="24" t="s">
        <v>146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3104</v>
      </c>
      <c r="S98" s="7" t="s">
        <v>127</v>
      </c>
      <c r="T98" s="6" t="s">
        <v>3105</v>
      </c>
      <c r="U98" s="6" t="s">
        <v>20</v>
      </c>
      <c r="V98" s="24" t="e">
        <f t="shared" ca="1" si="2"/>
        <v>#NAME?</v>
      </c>
      <c r="W98" s="24"/>
      <c r="X98" s="24"/>
      <c r="Y98" s="6" t="s">
        <v>240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2929</v>
      </c>
      <c r="B99" s="3" t="s">
        <v>3106</v>
      </c>
      <c r="C99" s="9">
        <v>438733</v>
      </c>
      <c r="D99" s="9" t="s">
        <v>2931</v>
      </c>
      <c r="E99" s="9" t="s">
        <v>20</v>
      </c>
      <c r="F99" s="6" t="s">
        <v>2938</v>
      </c>
      <c r="G99" s="7" t="e">
        <f t="shared" ca="1" si="0"/>
        <v>#NAME?</v>
      </c>
      <c r="H99" s="8" t="s">
        <v>125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185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127</v>
      </c>
      <c r="T99" s="6" t="s">
        <v>3107</v>
      </c>
      <c r="U99" s="6" t="s">
        <v>66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2940</v>
      </c>
      <c r="BH99" s="110">
        <v>0</v>
      </c>
      <c r="BI99" s="110" t="s">
        <v>2940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2929</v>
      </c>
      <c r="B100" s="3" t="s">
        <v>3108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145</v>
      </c>
      <c r="I100" s="24" t="s">
        <v>146</v>
      </c>
      <c r="J100" s="9" t="str">
        <f t="shared" si="3"/>
        <v>Não</v>
      </c>
      <c r="K100" s="232">
        <v>43860</v>
      </c>
      <c r="L100" s="6"/>
      <c r="M100" s="6" t="s">
        <v>185</v>
      </c>
      <c r="N100" s="10">
        <v>1.4999999999999999E-2</v>
      </c>
      <c r="O100" s="9" t="s">
        <v>25</v>
      </c>
      <c r="P100" s="234">
        <v>0</v>
      </c>
      <c r="Q100" s="23"/>
      <c r="R100" s="108" t="s">
        <v>3109</v>
      </c>
      <c r="S100" s="7" t="s">
        <v>127</v>
      </c>
      <c r="T100" s="6" t="s">
        <v>3110</v>
      </c>
      <c r="U100" s="6" t="s">
        <v>20</v>
      </c>
      <c r="V100" s="24" t="e">
        <f t="shared" ca="1" si="2"/>
        <v>#NAME?</v>
      </c>
      <c r="W100" s="24"/>
      <c r="X100" s="24"/>
      <c r="Y100" s="6" t="s">
        <v>129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2929</v>
      </c>
      <c r="B101" s="106" t="s">
        <v>850</v>
      </c>
      <c r="C101" s="9">
        <v>36791</v>
      </c>
      <c r="D101" s="9" t="s">
        <v>19</v>
      </c>
      <c r="E101" s="9" t="s">
        <v>35</v>
      </c>
      <c r="F101" s="9" t="s">
        <v>199</v>
      </c>
      <c r="G101" s="7" t="e">
        <f t="shared" ca="1" si="0"/>
        <v>#NAME?</v>
      </c>
      <c r="H101" s="8" t="s">
        <v>145</v>
      </c>
      <c r="I101" s="24" t="s">
        <v>146</v>
      </c>
      <c r="J101" s="9" t="str">
        <f t="shared" si="3"/>
        <v>Não</v>
      </c>
      <c r="K101" s="232">
        <v>44321</v>
      </c>
      <c r="L101" s="6"/>
      <c r="M101" s="6" t="s">
        <v>185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127</v>
      </c>
      <c r="T101" s="9" t="s">
        <v>852</v>
      </c>
      <c r="U101" s="6" t="s">
        <v>202</v>
      </c>
      <c r="V101" s="24" t="e">
        <f t="shared" ca="1" si="2"/>
        <v>#NAME?</v>
      </c>
      <c r="W101" s="24"/>
      <c r="X101" s="24"/>
      <c r="Y101" s="6" t="s">
        <v>129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2929</v>
      </c>
      <c r="B102" s="3" t="s">
        <v>855</v>
      </c>
      <c r="C102" s="9">
        <v>32374</v>
      </c>
      <c r="D102" s="9" t="s">
        <v>19</v>
      </c>
      <c r="E102" s="9" t="s">
        <v>35</v>
      </c>
      <c r="F102" s="6" t="s">
        <v>250</v>
      </c>
      <c r="G102" s="7" t="e">
        <f t="shared" ca="1" si="0"/>
        <v>#NAME?</v>
      </c>
      <c r="H102" s="8" t="s">
        <v>145</v>
      </c>
      <c r="I102" s="24" t="s">
        <v>146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127</v>
      </c>
      <c r="T102" s="6" t="s">
        <v>858</v>
      </c>
      <c r="U102" s="6" t="s">
        <v>202</v>
      </c>
      <c r="V102" s="24" t="e">
        <f t="shared" ca="1" si="2"/>
        <v>#NAME?</v>
      </c>
      <c r="W102" s="24"/>
      <c r="X102" s="24"/>
      <c r="Y102" s="6" t="s">
        <v>240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2929</v>
      </c>
      <c r="B103" s="37" t="s">
        <v>865</v>
      </c>
      <c r="C103" s="9">
        <v>649661</v>
      </c>
      <c r="D103" s="9" t="s">
        <v>19</v>
      </c>
      <c r="E103" s="9" t="s">
        <v>35</v>
      </c>
      <c r="F103" s="9" t="s">
        <v>199</v>
      </c>
      <c r="G103" s="7" t="e">
        <f t="shared" ca="1" si="0"/>
        <v>#NAME?</v>
      </c>
      <c r="H103" s="8" t="s">
        <v>125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127</v>
      </c>
      <c r="T103" s="6" t="s">
        <v>868</v>
      </c>
      <c r="U103" s="7" t="s">
        <v>202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2929</v>
      </c>
      <c r="B104" s="37" t="s">
        <v>865</v>
      </c>
      <c r="C104" s="9">
        <v>377958</v>
      </c>
      <c r="D104" s="9" t="s">
        <v>19</v>
      </c>
      <c r="E104" s="9" t="s">
        <v>35</v>
      </c>
      <c r="F104" s="6" t="s">
        <v>3111</v>
      </c>
      <c r="G104" s="7" t="e">
        <f t="shared" ca="1" si="0"/>
        <v>#NAME?</v>
      </c>
      <c r="H104" s="8" t="s">
        <v>125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867</v>
      </c>
      <c r="N104" s="10">
        <v>0.02</v>
      </c>
      <c r="O104" s="9" t="s">
        <v>167</v>
      </c>
      <c r="P104" s="234">
        <v>0.2</v>
      </c>
      <c r="Q104" s="108"/>
      <c r="R104" s="108"/>
      <c r="S104" s="7" t="s">
        <v>127</v>
      </c>
      <c r="T104" s="6" t="s">
        <v>868</v>
      </c>
      <c r="U104" s="6" t="s">
        <v>202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2929</v>
      </c>
      <c r="B105" s="3" t="s">
        <v>3112</v>
      </c>
      <c r="C105" s="9">
        <v>453416</v>
      </c>
      <c r="D105" s="9" t="s">
        <v>2931</v>
      </c>
      <c r="E105" s="9" t="s">
        <v>20</v>
      </c>
      <c r="F105" s="6" t="s">
        <v>2931</v>
      </c>
      <c r="G105" s="7" t="e">
        <f t="shared" ca="1" si="0"/>
        <v>#NAME?</v>
      </c>
      <c r="H105" s="8" t="s">
        <v>125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185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127</v>
      </c>
      <c r="T105" s="6" t="s">
        <v>3113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2940</v>
      </c>
      <c r="BH105" s="110">
        <v>0</v>
      </c>
      <c r="BI105" s="110" t="s">
        <v>2940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2929</v>
      </c>
      <c r="B106" s="36" t="s">
        <v>926</v>
      </c>
      <c r="C106" s="9">
        <v>362767</v>
      </c>
      <c r="D106" s="9" t="s">
        <v>19</v>
      </c>
      <c r="E106" s="9" t="s">
        <v>35</v>
      </c>
      <c r="F106" s="9" t="s">
        <v>199</v>
      </c>
      <c r="G106" s="7" t="e">
        <f t="shared" ca="1" si="0"/>
        <v>#NAME?</v>
      </c>
      <c r="H106" s="8" t="s">
        <v>145</v>
      </c>
      <c r="I106" s="24" t="s">
        <v>146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127</v>
      </c>
      <c r="T106" s="9" t="s">
        <v>929</v>
      </c>
      <c r="U106" s="6" t="s">
        <v>202</v>
      </c>
      <c r="V106" s="24" t="e">
        <f t="shared" ca="1" si="2"/>
        <v>#NAME?</v>
      </c>
      <c r="W106" s="24"/>
      <c r="X106" s="24"/>
      <c r="Y106" s="6" t="s">
        <v>240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2929</v>
      </c>
      <c r="B107" s="37" t="s">
        <v>930</v>
      </c>
      <c r="C107" s="9">
        <v>38407</v>
      </c>
      <c r="D107" s="9" t="s">
        <v>19</v>
      </c>
      <c r="E107" s="9" t="s">
        <v>35</v>
      </c>
      <c r="F107" s="9" t="s">
        <v>250</v>
      </c>
      <c r="G107" s="7" t="e">
        <f t="shared" ca="1" si="0"/>
        <v>#NAME?</v>
      </c>
      <c r="H107" s="8" t="s">
        <v>145</v>
      </c>
      <c r="I107" s="24" t="s">
        <v>146</v>
      </c>
      <c r="J107" s="9" t="str">
        <f t="shared" si="3"/>
        <v>Não</v>
      </c>
      <c r="K107" s="232">
        <v>44328</v>
      </c>
      <c r="L107" s="7"/>
      <c r="M107" s="6" t="s">
        <v>333</v>
      </c>
      <c r="N107" s="10">
        <v>0.02</v>
      </c>
      <c r="O107" s="9" t="s">
        <v>39</v>
      </c>
      <c r="P107" s="234">
        <v>0.2</v>
      </c>
      <c r="Q107" s="45"/>
      <c r="R107" s="28" t="s">
        <v>3114</v>
      </c>
      <c r="S107" s="7" t="s">
        <v>127</v>
      </c>
      <c r="T107" s="6" t="s">
        <v>932</v>
      </c>
      <c r="U107" s="6" t="s">
        <v>202</v>
      </c>
      <c r="V107" s="24" t="e">
        <f t="shared" ca="1" si="2"/>
        <v>#NAME?</v>
      </c>
      <c r="W107" s="24"/>
      <c r="X107" s="24"/>
      <c r="Y107" s="6" t="s">
        <v>129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2929</v>
      </c>
      <c r="B108" s="37" t="s">
        <v>3115</v>
      </c>
      <c r="C108" s="9">
        <v>35124</v>
      </c>
      <c r="D108" s="9" t="s">
        <v>19</v>
      </c>
      <c r="E108" s="9" t="s">
        <v>35</v>
      </c>
      <c r="F108" s="9" t="s">
        <v>199</v>
      </c>
      <c r="G108" s="7" t="e">
        <f t="shared" ca="1" si="0"/>
        <v>#NAME?</v>
      </c>
      <c r="H108" s="8" t="s">
        <v>125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185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127</v>
      </c>
      <c r="T108" s="6" t="s">
        <v>3116</v>
      </c>
      <c r="U108" s="6" t="s">
        <v>202</v>
      </c>
      <c r="V108" s="24" t="e">
        <f t="shared" ca="1" si="2"/>
        <v>#NAME?</v>
      </c>
      <c r="W108" s="24"/>
      <c r="X108" s="24"/>
      <c r="Y108" s="6" t="s">
        <v>240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2929</v>
      </c>
      <c r="B109" s="36" t="s">
        <v>3117</v>
      </c>
      <c r="C109" s="9">
        <v>446581</v>
      </c>
      <c r="D109" s="9" t="s">
        <v>19</v>
      </c>
      <c r="E109" s="9" t="s">
        <v>20</v>
      </c>
      <c r="F109" s="9" t="s">
        <v>720</v>
      </c>
      <c r="G109" s="7" t="e">
        <f t="shared" ca="1" si="0"/>
        <v>#NAME?</v>
      </c>
      <c r="H109" s="8" t="s">
        <v>134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3118</v>
      </c>
      <c r="R109" s="108" t="s">
        <v>3119</v>
      </c>
      <c r="S109" s="7" t="s">
        <v>127</v>
      </c>
      <c r="T109" s="9" t="s">
        <v>3120</v>
      </c>
      <c r="U109" s="9" t="s">
        <v>20</v>
      </c>
      <c r="V109" s="24" t="e">
        <f t="shared" ca="1" si="2"/>
        <v>#NAME?</v>
      </c>
      <c r="W109" s="24"/>
      <c r="X109" s="24"/>
      <c r="Y109" s="6" t="s">
        <v>240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2929</v>
      </c>
      <c r="B110" s="36" t="s">
        <v>3121</v>
      </c>
      <c r="C110" s="9">
        <v>295437</v>
      </c>
      <c r="D110" s="9" t="s">
        <v>19</v>
      </c>
      <c r="E110" s="9" t="s">
        <v>20</v>
      </c>
      <c r="F110" s="9" t="s">
        <v>184</v>
      </c>
      <c r="G110" s="7" t="e">
        <f t="shared" ca="1" si="0"/>
        <v>#NAME?</v>
      </c>
      <c r="H110" s="8" t="s">
        <v>145</v>
      </c>
      <c r="I110" s="24" t="s">
        <v>146</v>
      </c>
      <c r="J110" s="9" t="str">
        <f t="shared" si="3"/>
        <v>Não</v>
      </c>
      <c r="K110" s="238">
        <v>43398</v>
      </c>
      <c r="L110" s="6"/>
      <c r="M110" s="6" t="s">
        <v>242</v>
      </c>
      <c r="N110" s="233">
        <v>1.7999999999999999E-2</v>
      </c>
      <c r="O110" s="9" t="s">
        <v>167</v>
      </c>
      <c r="P110" s="234">
        <v>0.2</v>
      </c>
      <c r="Q110" s="108"/>
      <c r="R110" s="108"/>
      <c r="S110" s="7" t="s">
        <v>127</v>
      </c>
      <c r="T110" s="9" t="s">
        <v>3122</v>
      </c>
      <c r="U110" s="6" t="s">
        <v>20</v>
      </c>
      <c r="V110" s="24" t="e">
        <f t="shared" ca="1" si="2"/>
        <v>#NAME?</v>
      </c>
      <c r="W110" s="24"/>
      <c r="X110" s="24"/>
      <c r="Y110" s="6" t="s">
        <v>240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2940</v>
      </c>
      <c r="BH110" s="237">
        <v>0</v>
      </c>
      <c r="BI110" s="237" t="s">
        <v>2940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2929</v>
      </c>
      <c r="B111" s="37" t="s">
        <v>3123</v>
      </c>
      <c r="C111" s="9">
        <v>254180</v>
      </c>
      <c r="D111" s="9" t="s">
        <v>19</v>
      </c>
      <c r="E111" s="9" t="s">
        <v>35</v>
      </c>
      <c r="F111" s="9" t="s">
        <v>199</v>
      </c>
      <c r="G111" s="7" t="e">
        <f t="shared" ca="1" si="0"/>
        <v>#NAME?</v>
      </c>
      <c r="H111" s="8" t="s">
        <v>134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3124</v>
      </c>
      <c r="R111" s="28"/>
      <c r="S111" s="7" t="s">
        <v>127</v>
      </c>
      <c r="T111" s="6" t="s">
        <v>3125</v>
      </c>
      <c r="U111" s="6" t="s">
        <v>202</v>
      </c>
      <c r="V111" s="24" t="e">
        <f t="shared" ca="1" si="2"/>
        <v>#NAME?</v>
      </c>
      <c r="W111" s="24"/>
      <c r="X111" s="24"/>
      <c r="Y111" s="6" t="s">
        <v>240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2929</v>
      </c>
      <c r="B112" s="36" t="s">
        <v>3126</v>
      </c>
      <c r="C112" s="9">
        <v>578866</v>
      </c>
      <c r="D112" s="9" t="s">
        <v>19</v>
      </c>
      <c r="E112" s="9" t="s">
        <v>20</v>
      </c>
      <c r="F112" s="9" t="s">
        <v>184</v>
      </c>
      <c r="G112" s="7" t="e">
        <f t="shared" ca="1" si="0"/>
        <v>#NAME?</v>
      </c>
      <c r="H112" s="8" t="s">
        <v>134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127</v>
      </c>
      <c r="T112" s="9" t="s">
        <v>3127</v>
      </c>
      <c r="U112" s="6" t="s">
        <v>20</v>
      </c>
      <c r="V112" s="24" t="e">
        <f t="shared" ca="1" si="2"/>
        <v>#NAME?</v>
      </c>
      <c r="W112" s="24"/>
      <c r="X112" s="24"/>
      <c r="Y112" s="6" t="s">
        <v>240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2929</v>
      </c>
      <c r="B113" s="36" t="s">
        <v>3126</v>
      </c>
      <c r="C113" s="9">
        <v>579753</v>
      </c>
      <c r="D113" s="9" t="s">
        <v>19</v>
      </c>
      <c r="E113" s="9" t="s">
        <v>20</v>
      </c>
      <c r="F113" s="9" t="s">
        <v>184</v>
      </c>
      <c r="G113" s="7" t="e">
        <f t="shared" ca="1" si="0"/>
        <v>#NAME?</v>
      </c>
      <c r="H113" s="8" t="s">
        <v>145</v>
      </c>
      <c r="I113" s="24" t="s">
        <v>897</v>
      </c>
      <c r="J113" s="9" t="str">
        <f t="shared" si="3"/>
        <v>Sim</v>
      </c>
      <c r="K113" s="232">
        <v>43564</v>
      </c>
      <c r="L113" s="6"/>
      <c r="M113" s="6" t="s">
        <v>242</v>
      </c>
      <c r="N113" s="233">
        <v>0.02</v>
      </c>
      <c r="O113" s="9" t="s">
        <v>167</v>
      </c>
      <c r="P113" s="234">
        <v>0.2</v>
      </c>
      <c r="Q113" s="108" t="s">
        <v>3128</v>
      </c>
      <c r="R113" s="108"/>
      <c r="S113" s="7" t="s">
        <v>127</v>
      </c>
      <c r="T113" s="9" t="s">
        <v>3127</v>
      </c>
      <c r="U113" s="6" t="s">
        <v>20</v>
      </c>
      <c r="V113" s="24" t="e">
        <f t="shared" ca="1" si="2"/>
        <v>#NAME?</v>
      </c>
      <c r="W113" s="24"/>
      <c r="X113" s="24"/>
      <c r="Y113" s="6" t="s">
        <v>240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2929</v>
      </c>
      <c r="B114" s="37" t="s">
        <v>3129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134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127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2929</v>
      </c>
      <c r="B115" s="37" t="s">
        <v>3130</v>
      </c>
      <c r="C115" s="9">
        <v>424734</v>
      </c>
      <c r="D115" s="9" t="s">
        <v>2931</v>
      </c>
      <c r="E115" s="9" t="s">
        <v>20</v>
      </c>
      <c r="F115" s="6" t="s">
        <v>2932</v>
      </c>
      <c r="G115" s="7" t="e">
        <f t="shared" ca="1" si="0"/>
        <v>#NAME?</v>
      </c>
      <c r="H115" s="8" t="s">
        <v>125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185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127</v>
      </c>
      <c r="T115" s="6" t="s">
        <v>3131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2940</v>
      </c>
      <c r="BH115" s="110">
        <v>0</v>
      </c>
      <c r="BI115" s="110" t="s">
        <v>2940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2929</v>
      </c>
      <c r="B116" s="3" t="s">
        <v>3132</v>
      </c>
      <c r="C116" s="9">
        <v>612955</v>
      </c>
      <c r="D116" s="9" t="s">
        <v>19</v>
      </c>
      <c r="E116" s="9" t="s">
        <v>35</v>
      </c>
      <c r="F116" s="6" t="s">
        <v>199</v>
      </c>
      <c r="G116" s="7" t="e">
        <f t="shared" ca="1" si="0"/>
        <v>#NAME?</v>
      </c>
      <c r="H116" s="8" t="s">
        <v>125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185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127</v>
      </c>
      <c r="T116" s="6" t="s">
        <v>3133</v>
      </c>
      <c r="U116" s="6" t="s">
        <v>202</v>
      </c>
      <c r="V116" s="24" t="e">
        <f t="shared" ca="1" si="2"/>
        <v>#NAME?</v>
      </c>
      <c r="W116" s="24"/>
      <c r="X116" s="24"/>
      <c r="Y116" s="6" t="s">
        <v>240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2929</v>
      </c>
      <c r="B117" s="37" t="s">
        <v>3134</v>
      </c>
      <c r="C117" s="9">
        <v>33434</v>
      </c>
      <c r="D117" s="9" t="s">
        <v>19</v>
      </c>
      <c r="E117" s="9" t="s">
        <v>35</v>
      </c>
      <c r="F117" s="6" t="s">
        <v>199</v>
      </c>
      <c r="G117" s="7" t="e">
        <f t="shared" ca="1" si="0"/>
        <v>#NAME?</v>
      </c>
      <c r="H117" s="8" t="s">
        <v>134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127</v>
      </c>
      <c r="T117" s="6" t="s">
        <v>3135</v>
      </c>
      <c r="U117" s="6" t="s">
        <v>202</v>
      </c>
      <c r="V117" s="24" t="e">
        <f t="shared" ca="1" si="2"/>
        <v>#NAME?</v>
      </c>
      <c r="W117" s="24"/>
      <c r="X117" s="24"/>
      <c r="Y117" s="6" t="s">
        <v>240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2929</v>
      </c>
      <c r="B118" s="3" t="s">
        <v>3136</v>
      </c>
      <c r="C118" s="9">
        <v>47579</v>
      </c>
      <c r="D118" s="9" t="s">
        <v>2931</v>
      </c>
      <c r="E118" s="9" t="s">
        <v>20</v>
      </c>
      <c r="F118" s="6" t="s">
        <v>2938</v>
      </c>
      <c r="G118" s="7" t="e">
        <f t="shared" ca="1" si="0"/>
        <v>#NAME?</v>
      </c>
      <c r="H118" s="8" t="s">
        <v>125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185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127</v>
      </c>
      <c r="T118" s="6" t="s">
        <v>3137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2940</v>
      </c>
      <c r="BH118" s="110">
        <v>0</v>
      </c>
      <c r="BI118" s="110" t="s">
        <v>2940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2929</v>
      </c>
      <c r="B119" s="106" t="s">
        <v>1056</v>
      </c>
      <c r="C119" s="9">
        <v>478599</v>
      </c>
      <c r="D119" s="9" t="s">
        <v>19</v>
      </c>
      <c r="E119" s="9" t="s">
        <v>35</v>
      </c>
      <c r="F119" s="9" t="s">
        <v>199</v>
      </c>
      <c r="G119" s="7" t="e">
        <f t="shared" ca="1" si="0"/>
        <v>#NAME?</v>
      </c>
      <c r="H119" s="8" t="s">
        <v>145</v>
      </c>
      <c r="I119" s="24" t="s">
        <v>146</v>
      </c>
      <c r="J119" s="9" t="str">
        <f t="shared" si="3"/>
        <v>Não</v>
      </c>
      <c r="K119" s="232">
        <v>44263</v>
      </c>
      <c r="L119" s="7"/>
      <c r="M119" s="6" t="s">
        <v>333</v>
      </c>
      <c r="N119" s="10">
        <v>0.02</v>
      </c>
      <c r="O119" s="9" t="s">
        <v>39</v>
      </c>
      <c r="P119" s="234">
        <v>0.2</v>
      </c>
      <c r="Q119" s="77"/>
      <c r="R119" s="108" t="s">
        <v>3138</v>
      </c>
      <c r="S119" s="7" t="s">
        <v>127</v>
      </c>
      <c r="T119" s="9" t="s">
        <v>1059</v>
      </c>
      <c r="U119" s="6" t="s">
        <v>202</v>
      </c>
      <c r="V119" s="24" t="e">
        <f t="shared" ca="1" si="2"/>
        <v>#NAME?</v>
      </c>
      <c r="W119" s="24"/>
      <c r="X119" s="24"/>
      <c r="Y119" s="6" t="s">
        <v>129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2929</v>
      </c>
      <c r="B120" s="3" t="s">
        <v>3139</v>
      </c>
      <c r="C120" s="9">
        <v>464575</v>
      </c>
      <c r="D120" s="9" t="s">
        <v>19</v>
      </c>
      <c r="E120" s="9" t="s">
        <v>35</v>
      </c>
      <c r="F120" s="9" t="s">
        <v>250</v>
      </c>
      <c r="G120" s="7" t="e">
        <f t="shared" ca="1" si="0"/>
        <v>#NAME?</v>
      </c>
      <c r="H120" s="8" t="s">
        <v>145</v>
      </c>
      <c r="I120" s="24" t="s">
        <v>921</v>
      </c>
      <c r="J120" s="9" t="str">
        <f t="shared" si="3"/>
        <v>Sim</v>
      </c>
      <c r="K120" s="232">
        <v>44291</v>
      </c>
      <c r="L120" s="6"/>
      <c r="M120" s="6" t="s">
        <v>185</v>
      </c>
      <c r="N120" s="10">
        <v>1.4999999999999999E-2</v>
      </c>
      <c r="O120" s="9" t="s">
        <v>39</v>
      </c>
      <c r="P120" s="234">
        <v>0.1</v>
      </c>
      <c r="Q120" s="108" t="s">
        <v>3140</v>
      </c>
      <c r="R120" s="108" t="s">
        <v>3141</v>
      </c>
      <c r="S120" s="7" t="s">
        <v>127</v>
      </c>
      <c r="T120" s="6" t="s">
        <v>3142</v>
      </c>
      <c r="U120" s="6" t="s">
        <v>202</v>
      </c>
      <c r="V120" s="24" t="e">
        <f t="shared" ca="1" si="2"/>
        <v>#NAME?</v>
      </c>
      <c r="W120" s="24"/>
      <c r="X120" s="24"/>
      <c r="Y120" s="6" t="s">
        <v>240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2929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199</v>
      </c>
      <c r="G121" s="7" t="e">
        <f t="shared" ca="1" si="0"/>
        <v>#NAME?</v>
      </c>
      <c r="H121" s="8" t="s">
        <v>145</v>
      </c>
      <c r="I121" s="24" t="s">
        <v>146</v>
      </c>
      <c r="J121" s="9" t="str">
        <f t="shared" si="3"/>
        <v>Não</v>
      </c>
      <c r="K121" s="232">
        <v>44263</v>
      </c>
      <c r="L121" s="6"/>
      <c r="M121" s="6" t="s">
        <v>333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127</v>
      </c>
      <c r="T121" s="6" t="s">
        <v>1070</v>
      </c>
      <c r="U121" s="6" t="s">
        <v>202</v>
      </c>
      <c r="V121" s="24" t="e">
        <f t="shared" ca="1" si="2"/>
        <v>#NAME?</v>
      </c>
      <c r="W121" s="24"/>
      <c r="X121" s="24"/>
      <c r="Y121" s="6" t="s">
        <v>240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2929</v>
      </c>
      <c r="B122" s="3" t="s">
        <v>3143</v>
      </c>
      <c r="C122" s="9">
        <v>443867</v>
      </c>
      <c r="D122" s="9" t="s">
        <v>2997</v>
      </c>
      <c r="E122" s="9" t="s">
        <v>20</v>
      </c>
      <c r="F122" s="6" t="s">
        <v>2997</v>
      </c>
      <c r="G122" s="7" t="e">
        <f t="shared" ca="1" si="0"/>
        <v>#NAME?</v>
      </c>
      <c r="H122" s="8" t="s">
        <v>125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242</v>
      </c>
      <c r="N122" s="10">
        <v>2.5000000000000001E-2</v>
      </c>
      <c r="O122" s="9" t="s">
        <v>167</v>
      </c>
      <c r="P122" s="234">
        <v>0.2</v>
      </c>
      <c r="Q122" s="108"/>
      <c r="R122" s="108"/>
      <c r="S122" s="7" t="s">
        <v>127</v>
      </c>
      <c r="T122" s="6" t="s">
        <v>3144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2940</v>
      </c>
      <c r="BH122" s="110">
        <v>0</v>
      </c>
      <c r="BI122" s="110" t="s">
        <v>2940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2929</v>
      </c>
      <c r="B123" s="37" t="s">
        <v>3145</v>
      </c>
      <c r="C123" s="9">
        <v>439818</v>
      </c>
      <c r="D123" s="9" t="s">
        <v>19</v>
      </c>
      <c r="E123" s="9" t="s">
        <v>35</v>
      </c>
      <c r="F123" s="9" t="s">
        <v>250</v>
      </c>
      <c r="G123" s="7" t="e">
        <f t="shared" ca="1" si="0"/>
        <v>#NAME?</v>
      </c>
      <c r="H123" s="8" t="s">
        <v>145</v>
      </c>
      <c r="I123" s="24" t="s">
        <v>146</v>
      </c>
      <c r="J123" s="9" t="str">
        <f t="shared" si="3"/>
        <v>Não</v>
      </c>
      <c r="K123" s="107">
        <v>44602</v>
      </c>
      <c r="L123" s="7"/>
      <c r="M123" s="6" t="s">
        <v>185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3146</v>
      </c>
      <c r="S123" s="7" t="s">
        <v>127</v>
      </c>
      <c r="T123" s="6" t="s">
        <v>3147</v>
      </c>
      <c r="U123" s="6" t="s">
        <v>202</v>
      </c>
      <c r="V123" s="24" t="e">
        <f t="shared" ca="1" si="2"/>
        <v>#NAME?</v>
      </c>
      <c r="W123" s="24"/>
      <c r="X123" s="24"/>
      <c r="Y123" s="6" t="s">
        <v>240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2929</v>
      </c>
      <c r="B124" s="3" t="s">
        <v>3148</v>
      </c>
      <c r="C124" s="9">
        <v>473239</v>
      </c>
      <c r="D124" s="9" t="s">
        <v>19</v>
      </c>
      <c r="E124" s="9" t="s">
        <v>35</v>
      </c>
      <c r="F124" s="6" t="s">
        <v>250</v>
      </c>
      <c r="G124" s="7" t="e">
        <f t="shared" ca="1" si="0"/>
        <v>#NAME?</v>
      </c>
      <c r="H124" s="8" t="s">
        <v>125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185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127</v>
      </c>
      <c r="T124" s="6" t="s">
        <v>3149</v>
      </c>
      <c r="U124" s="6" t="s">
        <v>202</v>
      </c>
      <c r="V124" s="24" t="e">
        <f t="shared" ca="1" si="2"/>
        <v>#NAME?</v>
      </c>
      <c r="W124" s="24"/>
      <c r="X124" s="24"/>
      <c r="Y124" s="6" t="s">
        <v>240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2940</v>
      </c>
      <c r="BH124" s="110">
        <v>0</v>
      </c>
      <c r="BI124" s="110" t="s">
        <v>2940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2929</v>
      </c>
      <c r="B125" s="3" t="s">
        <v>3148</v>
      </c>
      <c r="C125" s="9">
        <v>463648</v>
      </c>
      <c r="D125" s="9" t="s">
        <v>19</v>
      </c>
      <c r="E125" s="9" t="s">
        <v>35</v>
      </c>
      <c r="F125" s="9" t="s">
        <v>250</v>
      </c>
      <c r="G125" s="7" t="e">
        <f t="shared" ca="1" si="0"/>
        <v>#NAME?</v>
      </c>
      <c r="H125" s="8" t="s">
        <v>145</v>
      </c>
      <c r="I125" s="24" t="s">
        <v>146</v>
      </c>
      <c r="J125" s="9" t="str">
        <f t="shared" si="3"/>
        <v>Não</v>
      </c>
      <c r="K125" s="232">
        <v>44383</v>
      </c>
      <c r="L125" s="7"/>
      <c r="M125" s="6" t="s">
        <v>242</v>
      </c>
      <c r="N125" s="10">
        <v>2.5000000000000001E-2</v>
      </c>
      <c r="O125" s="9" t="s">
        <v>167</v>
      </c>
      <c r="P125" s="234">
        <v>0.2</v>
      </c>
      <c r="Q125" s="28"/>
      <c r="R125" s="28"/>
      <c r="S125" s="7" t="s">
        <v>127</v>
      </c>
      <c r="T125" s="6" t="s">
        <v>3149</v>
      </c>
      <c r="U125" s="6" t="s">
        <v>202</v>
      </c>
      <c r="V125" s="24" t="e">
        <f t="shared" ca="1" si="2"/>
        <v>#NAME?</v>
      </c>
      <c r="W125" s="24"/>
      <c r="X125" s="24"/>
      <c r="Y125" s="6" t="s">
        <v>240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2940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2929</v>
      </c>
      <c r="B126" s="3" t="s">
        <v>3150</v>
      </c>
      <c r="C126" s="9">
        <v>31956</v>
      </c>
      <c r="D126" s="9" t="s">
        <v>19</v>
      </c>
      <c r="E126" s="9" t="s">
        <v>35</v>
      </c>
      <c r="F126" s="9" t="s">
        <v>199</v>
      </c>
      <c r="G126" s="7" t="e">
        <f t="shared" ca="1" si="0"/>
        <v>#NAME?</v>
      </c>
      <c r="H126" s="8" t="s">
        <v>145</v>
      </c>
      <c r="I126" s="24" t="s">
        <v>146</v>
      </c>
      <c r="J126" s="9" t="str">
        <f t="shared" si="3"/>
        <v>Não</v>
      </c>
      <c r="K126" s="232">
        <v>44322</v>
      </c>
      <c r="L126" s="6"/>
      <c r="M126" s="6" t="s">
        <v>185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127</v>
      </c>
      <c r="T126" s="6" t="s">
        <v>3151</v>
      </c>
      <c r="U126" s="6" t="s">
        <v>202</v>
      </c>
      <c r="V126" s="24" t="e">
        <f t="shared" ca="1" si="2"/>
        <v>#NAME?</v>
      </c>
      <c r="W126" s="24"/>
      <c r="X126" s="24"/>
      <c r="Y126" s="6" t="s">
        <v>240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2940</v>
      </c>
      <c r="BH126" s="237">
        <v>0</v>
      </c>
      <c r="BI126" s="237" t="s">
        <v>2940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2929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199</v>
      </c>
      <c r="G127" s="7" t="e">
        <f t="shared" ca="1" si="0"/>
        <v>#NAME?</v>
      </c>
      <c r="H127" s="8" t="s">
        <v>145</v>
      </c>
      <c r="I127" s="24" t="s">
        <v>146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3152</v>
      </c>
      <c r="S127" s="7" t="s">
        <v>127</v>
      </c>
      <c r="T127" s="6" t="s">
        <v>1102</v>
      </c>
      <c r="U127" s="6" t="s">
        <v>202</v>
      </c>
      <c r="V127" s="24" t="e">
        <f t="shared" ca="1" si="2"/>
        <v>#NAME?</v>
      </c>
      <c r="W127" s="24"/>
      <c r="X127" s="24"/>
      <c r="Y127" s="6" t="s">
        <v>240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2929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199</v>
      </c>
      <c r="G128" s="7" t="e">
        <f t="shared" ca="1" si="0"/>
        <v>#NAME?</v>
      </c>
      <c r="H128" s="8" t="s">
        <v>145</v>
      </c>
      <c r="I128" s="24" t="s">
        <v>146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127</v>
      </c>
      <c r="T128" s="6" t="s">
        <v>1106</v>
      </c>
      <c r="U128" s="6" t="s">
        <v>202</v>
      </c>
      <c r="V128" s="24" t="e">
        <f t="shared" ca="1" si="2"/>
        <v>#NAME?</v>
      </c>
      <c r="W128" s="24"/>
      <c r="X128" s="24"/>
      <c r="Y128" s="6" t="s">
        <v>240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2929</v>
      </c>
      <c r="B129" s="106" t="s">
        <v>3153</v>
      </c>
      <c r="C129" s="9">
        <v>476148</v>
      </c>
      <c r="D129" s="9" t="s">
        <v>19</v>
      </c>
      <c r="E129" s="9" t="s">
        <v>35</v>
      </c>
      <c r="F129" s="9" t="s">
        <v>250</v>
      </c>
      <c r="G129" s="7" t="e">
        <f t="shared" ca="1" si="0"/>
        <v>#NAME?</v>
      </c>
      <c r="H129" s="8" t="s">
        <v>145</v>
      </c>
      <c r="I129" s="24" t="s">
        <v>146</v>
      </c>
      <c r="J129" s="9" t="str">
        <f t="shared" si="3"/>
        <v>Não</v>
      </c>
      <c r="K129" s="232">
        <v>44280</v>
      </c>
      <c r="L129" s="7"/>
      <c r="M129" s="6" t="s">
        <v>333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127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2929</v>
      </c>
      <c r="B130" s="106" t="s">
        <v>1125</v>
      </c>
      <c r="C130" s="9">
        <v>468353</v>
      </c>
      <c r="D130" s="9" t="s">
        <v>19</v>
      </c>
      <c r="E130" s="9" t="s">
        <v>35</v>
      </c>
      <c r="F130" s="9" t="s">
        <v>199</v>
      </c>
      <c r="G130" s="7" t="e">
        <f t="shared" ca="1" si="0"/>
        <v>#NAME?</v>
      </c>
      <c r="H130" s="8" t="s">
        <v>125</v>
      </c>
      <c r="I130" s="24" t="s">
        <v>25</v>
      </c>
      <c r="J130" s="9" t="str">
        <f t="shared" si="3"/>
        <v>Não</v>
      </c>
      <c r="K130" s="6" t="s">
        <v>3154</v>
      </c>
      <c r="L130" s="79">
        <v>44858</v>
      </c>
      <c r="M130" s="7" t="s">
        <v>3155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127</v>
      </c>
      <c r="T130" s="9" t="s">
        <v>3149</v>
      </c>
      <c r="U130" s="6" t="s">
        <v>202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2940</v>
      </c>
      <c r="BH130" s="237">
        <v>0</v>
      </c>
      <c r="BI130" s="237" t="s">
        <v>2940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2929</v>
      </c>
      <c r="B131" s="106" t="s">
        <v>3156</v>
      </c>
      <c r="C131" s="9">
        <v>433634</v>
      </c>
      <c r="D131" s="9" t="s">
        <v>19</v>
      </c>
      <c r="E131" s="9" t="s">
        <v>35</v>
      </c>
      <c r="F131" s="9" t="s">
        <v>199</v>
      </c>
      <c r="G131" s="7" t="e">
        <f t="shared" ca="1" si="0"/>
        <v>#NAME?</v>
      </c>
      <c r="H131" s="8" t="s">
        <v>145</v>
      </c>
      <c r="I131" s="24" t="s">
        <v>146</v>
      </c>
      <c r="J131" s="9" t="str">
        <f t="shared" si="3"/>
        <v>Não</v>
      </c>
      <c r="K131" s="232">
        <v>44266</v>
      </c>
      <c r="L131" s="7"/>
      <c r="M131" s="6" t="s">
        <v>333</v>
      </c>
      <c r="N131" s="10">
        <v>0.02</v>
      </c>
      <c r="O131" s="9" t="s">
        <v>39</v>
      </c>
      <c r="P131" s="234">
        <v>0.2</v>
      </c>
      <c r="Q131" s="23"/>
      <c r="R131" s="108" t="s">
        <v>3157</v>
      </c>
      <c r="S131" s="7" t="s">
        <v>127</v>
      </c>
      <c r="T131" s="9" t="s">
        <v>3149</v>
      </c>
      <c r="U131" s="6" t="s">
        <v>202</v>
      </c>
      <c r="V131" s="24" t="e">
        <f t="shared" ca="1" si="2"/>
        <v>#NAME?</v>
      </c>
      <c r="W131" s="24"/>
      <c r="X131" s="24"/>
      <c r="Y131" s="6" t="s">
        <v>240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2929</v>
      </c>
      <c r="B132" s="3" t="s">
        <v>3158</v>
      </c>
      <c r="C132" s="9">
        <v>33481</v>
      </c>
      <c r="D132" s="9" t="s">
        <v>19</v>
      </c>
      <c r="E132" s="9" t="s">
        <v>35</v>
      </c>
      <c r="F132" s="6" t="s">
        <v>199</v>
      </c>
      <c r="G132" s="7" t="e">
        <f t="shared" ca="1" si="0"/>
        <v>#NAME?</v>
      </c>
      <c r="H132" s="8" t="s">
        <v>125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333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127</v>
      </c>
      <c r="T132" s="6" t="s">
        <v>3159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2940</v>
      </c>
      <c r="BH132" s="110">
        <v>0</v>
      </c>
      <c r="BI132" s="110" t="s">
        <v>2940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2929</v>
      </c>
      <c r="B133" s="3" t="s">
        <v>3160</v>
      </c>
      <c r="C133" s="9">
        <v>376904</v>
      </c>
      <c r="D133" s="9" t="s">
        <v>19</v>
      </c>
      <c r="E133" s="9" t="s">
        <v>20</v>
      </c>
      <c r="F133" s="9" t="s">
        <v>2963</v>
      </c>
      <c r="G133" s="7" t="e">
        <f t="shared" ca="1" si="0"/>
        <v>#NAME?</v>
      </c>
      <c r="H133" s="8" t="s">
        <v>134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127</v>
      </c>
      <c r="T133" s="201" t="s">
        <v>3161</v>
      </c>
      <c r="U133" s="6" t="s">
        <v>878</v>
      </c>
      <c r="V133" s="24" t="e">
        <f t="shared" ca="1" si="2"/>
        <v>#NAME?</v>
      </c>
      <c r="W133" s="24"/>
      <c r="X133" s="24"/>
      <c r="Y133" s="6" t="s">
        <v>240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2929</v>
      </c>
      <c r="B134" s="3" t="s">
        <v>3162</v>
      </c>
      <c r="C134" s="9">
        <v>459543</v>
      </c>
      <c r="D134" s="9" t="s">
        <v>19</v>
      </c>
      <c r="E134" s="9" t="s">
        <v>35</v>
      </c>
      <c r="F134" s="9" t="s">
        <v>250</v>
      </c>
      <c r="G134" s="7" t="e">
        <f t="shared" ca="1" si="0"/>
        <v>#NAME?</v>
      </c>
      <c r="H134" s="8" t="s">
        <v>125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3163</v>
      </c>
      <c r="S134" s="7" t="s">
        <v>171</v>
      </c>
      <c r="T134" s="6" t="s">
        <v>3164</v>
      </c>
      <c r="U134" s="6" t="s">
        <v>202</v>
      </c>
      <c r="V134" s="24" t="e">
        <f t="shared" ca="1" si="2"/>
        <v>#NAME?</v>
      </c>
      <c r="W134" s="24"/>
      <c r="X134" s="24"/>
      <c r="Y134" s="6" t="s">
        <v>240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2929</v>
      </c>
      <c r="B135" s="37" t="s">
        <v>3165</v>
      </c>
      <c r="C135" s="9">
        <v>379302</v>
      </c>
      <c r="D135" s="9" t="s">
        <v>19</v>
      </c>
      <c r="E135" s="9" t="s">
        <v>20</v>
      </c>
      <c r="F135" s="9" t="s">
        <v>3166</v>
      </c>
      <c r="G135" s="7" t="e">
        <f t="shared" ca="1" si="0"/>
        <v>#NAME?</v>
      </c>
      <c r="H135" s="8" t="s">
        <v>145</v>
      </c>
      <c r="I135" s="24" t="s">
        <v>146</v>
      </c>
      <c r="J135" s="9" t="str">
        <f t="shared" si="3"/>
        <v>Não</v>
      </c>
      <c r="K135" s="107">
        <v>45021</v>
      </c>
      <c r="L135" s="6"/>
      <c r="M135" s="6" t="s">
        <v>185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127</v>
      </c>
      <c r="T135" s="6" t="s">
        <v>3167</v>
      </c>
      <c r="U135" s="6" t="s">
        <v>48</v>
      </c>
      <c r="V135" s="24" t="e">
        <f t="shared" ca="1" si="2"/>
        <v>#NAME?</v>
      </c>
      <c r="W135" s="24"/>
      <c r="X135" s="24"/>
      <c r="Y135" s="6" t="s">
        <v>240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2929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606</v>
      </c>
      <c r="G136" s="7" t="e">
        <f t="shared" ca="1" si="0"/>
        <v>#NAME?</v>
      </c>
      <c r="H136" s="8" t="s">
        <v>134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3168</v>
      </c>
      <c r="R136" s="108"/>
      <c r="S136" s="7" t="s">
        <v>127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129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2929</v>
      </c>
      <c r="B137" s="37" t="s">
        <v>1148</v>
      </c>
      <c r="C137" s="9">
        <v>559558</v>
      </c>
      <c r="D137" s="9" t="s">
        <v>19</v>
      </c>
      <c r="E137" s="9" t="s">
        <v>35</v>
      </c>
      <c r="F137" s="6" t="s">
        <v>606</v>
      </c>
      <c r="G137" s="7" t="e">
        <f t="shared" ca="1" si="0"/>
        <v>#NAME?</v>
      </c>
      <c r="H137" s="8" t="s">
        <v>125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127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2940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2929</v>
      </c>
      <c r="B138" s="37" t="s">
        <v>1148</v>
      </c>
      <c r="C138" s="9">
        <v>559559</v>
      </c>
      <c r="D138" s="9" t="s">
        <v>19</v>
      </c>
      <c r="E138" s="9" t="s">
        <v>35</v>
      </c>
      <c r="F138" s="6" t="s">
        <v>606</v>
      </c>
      <c r="G138" s="7" t="e">
        <f t="shared" ca="1" si="0"/>
        <v>#NAME?</v>
      </c>
      <c r="H138" s="8" t="s">
        <v>125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3155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127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2940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2929</v>
      </c>
      <c r="B139" s="106" t="s">
        <v>3169</v>
      </c>
      <c r="C139" s="9">
        <v>484473</v>
      </c>
      <c r="D139" s="9" t="s">
        <v>19</v>
      </c>
      <c r="E139" s="9" t="s">
        <v>35</v>
      </c>
      <c r="F139" s="9" t="s">
        <v>199</v>
      </c>
      <c r="G139" s="7" t="e">
        <f t="shared" ca="1" si="0"/>
        <v>#NAME?</v>
      </c>
      <c r="H139" s="8" t="s">
        <v>125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333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127</v>
      </c>
      <c r="T139" s="9" t="s">
        <v>3170</v>
      </c>
      <c r="U139" s="6" t="s">
        <v>202</v>
      </c>
      <c r="V139" s="24" t="e">
        <f t="shared" ca="1" si="2"/>
        <v>#NAME?</v>
      </c>
      <c r="W139" s="24"/>
      <c r="X139" s="24"/>
      <c r="Y139" s="6" t="s">
        <v>240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2929</v>
      </c>
      <c r="B140" s="3" t="s">
        <v>3171</v>
      </c>
      <c r="C140" s="9">
        <v>448760</v>
      </c>
      <c r="D140" s="9" t="s">
        <v>2931</v>
      </c>
      <c r="E140" s="9" t="s">
        <v>20</v>
      </c>
      <c r="F140" s="6" t="s">
        <v>2932</v>
      </c>
      <c r="G140" s="7" t="e">
        <f t="shared" ca="1" si="0"/>
        <v>#NAME?</v>
      </c>
      <c r="H140" s="8" t="s">
        <v>125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185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127</v>
      </c>
      <c r="T140" s="6" t="s">
        <v>3087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2940</v>
      </c>
      <c r="BH140" s="110">
        <v>0</v>
      </c>
      <c r="BI140" s="110" t="s">
        <v>2940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2929</v>
      </c>
      <c r="B141" s="3" t="s">
        <v>3172</v>
      </c>
      <c r="C141" s="9">
        <v>80415</v>
      </c>
      <c r="D141" s="9" t="s">
        <v>19</v>
      </c>
      <c r="E141" s="9" t="s">
        <v>35</v>
      </c>
      <c r="F141" s="6" t="s">
        <v>199</v>
      </c>
      <c r="G141" s="7" t="e">
        <f t="shared" ca="1" si="0"/>
        <v>#NAME?</v>
      </c>
      <c r="H141" s="8" t="s">
        <v>125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3173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127</v>
      </c>
      <c r="T141" s="6" t="s">
        <v>3174</v>
      </c>
      <c r="U141" s="6" t="s">
        <v>202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2940</v>
      </c>
      <c r="BH141" s="110">
        <v>0</v>
      </c>
      <c r="BI141" s="110" t="s">
        <v>2940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2929</v>
      </c>
      <c r="B142" s="37" t="s">
        <v>3175</v>
      </c>
      <c r="C142" s="9">
        <v>265807</v>
      </c>
      <c r="D142" s="9" t="s">
        <v>2931</v>
      </c>
      <c r="E142" s="9" t="s">
        <v>20</v>
      </c>
      <c r="F142" s="6" t="s">
        <v>2938</v>
      </c>
      <c r="G142" s="7" t="e">
        <f t="shared" ca="1" si="0"/>
        <v>#NAME?</v>
      </c>
      <c r="H142" s="8" t="s">
        <v>125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242</v>
      </c>
      <c r="N142" s="10">
        <v>0.02</v>
      </c>
      <c r="O142" s="9" t="s">
        <v>167</v>
      </c>
      <c r="P142" s="234">
        <v>0.2</v>
      </c>
      <c r="Q142" s="108"/>
      <c r="R142" s="108"/>
      <c r="S142" s="7" t="s">
        <v>127</v>
      </c>
      <c r="T142" s="6" t="s">
        <v>3176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2940</v>
      </c>
      <c r="BH142" s="110">
        <v>0</v>
      </c>
      <c r="BI142" s="110" t="s">
        <v>2940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2929</v>
      </c>
      <c r="B143" s="3" t="s">
        <v>3175</v>
      </c>
      <c r="C143" s="9">
        <v>320105</v>
      </c>
      <c r="D143" s="9" t="s">
        <v>2931</v>
      </c>
      <c r="E143" s="9" t="s">
        <v>20</v>
      </c>
      <c r="F143" s="9" t="s">
        <v>2938</v>
      </c>
      <c r="G143" s="7" t="e">
        <f t="shared" ca="1" si="0"/>
        <v>#NAME?</v>
      </c>
      <c r="H143" s="8" t="s">
        <v>145</v>
      </c>
      <c r="I143" s="24" t="s">
        <v>146</v>
      </c>
      <c r="J143" s="9" t="str">
        <f t="shared" si="3"/>
        <v>Sim</v>
      </c>
      <c r="K143" s="232">
        <v>43531</v>
      </c>
      <c r="L143" s="6"/>
      <c r="M143" s="6" t="s">
        <v>200</v>
      </c>
      <c r="N143" s="10">
        <v>1.4999999999999999E-2</v>
      </c>
      <c r="O143" s="9" t="s">
        <v>25</v>
      </c>
      <c r="P143" s="234">
        <v>0</v>
      </c>
      <c r="Q143" s="108" t="s">
        <v>3177</v>
      </c>
      <c r="R143" s="235" t="s">
        <v>3178</v>
      </c>
      <c r="S143" s="7" t="s">
        <v>127</v>
      </c>
      <c r="T143" s="6" t="s">
        <v>3176</v>
      </c>
      <c r="U143" s="6" t="s">
        <v>20</v>
      </c>
      <c r="V143" s="24" t="e">
        <f t="shared" ca="1" si="2"/>
        <v>#NAME?</v>
      </c>
      <c r="W143" s="24"/>
      <c r="X143" s="24"/>
      <c r="Y143" s="6" t="s">
        <v>129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2929</v>
      </c>
      <c r="B144" s="37" t="s">
        <v>3175</v>
      </c>
      <c r="C144" s="9">
        <v>577168</v>
      </c>
      <c r="D144" s="9" t="s">
        <v>2931</v>
      </c>
      <c r="E144" s="9" t="s">
        <v>20</v>
      </c>
      <c r="F144" s="6" t="s">
        <v>2938</v>
      </c>
      <c r="G144" s="7" t="e">
        <f t="shared" ca="1" si="0"/>
        <v>#NAME?</v>
      </c>
      <c r="H144" s="8" t="s">
        <v>125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242</v>
      </c>
      <c r="N144" s="10">
        <v>2.5000000000000001E-2</v>
      </c>
      <c r="O144" s="9" t="s">
        <v>167</v>
      </c>
      <c r="P144" s="234">
        <v>0.2</v>
      </c>
      <c r="Q144" s="108"/>
      <c r="R144" s="108"/>
      <c r="S144" s="7" t="s">
        <v>127</v>
      </c>
      <c r="T144" s="6" t="s">
        <v>3176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2940</v>
      </c>
      <c r="BH144" s="110">
        <v>0</v>
      </c>
      <c r="BI144" s="110" t="s">
        <v>2940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2929</v>
      </c>
      <c r="B145" s="37" t="s">
        <v>3179</v>
      </c>
      <c r="C145" s="9">
        <v>443081</v>
      </c>
      <c r="D145" s="9" t="s">
        <v>2997</v>
      </c>
      <c r="E145" s="9" t="s">
        <v>20</v>
      </c>
      <c r="F145" s="6" t="s">
        <v>2997</v>
      </c>
      <c r="G145" s="7" t="e">
        <f t="shared" ca="1" si="0"/>
        <v>#NAME?</v>
      </c>
      <c r="H145" s="8" t="s">
        <v>125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242</v>
      </c>
      <c r="N145" s="10">
        <v>2.5000000000000001E-2</v>
      </c>
      <c r="O145" s="9" t="s">
        <v>167</v>
      </c>
      <c r="P145" s="234">
        <v>0.2</v>
      </c>
      <c r="Q145" s="108"/>
      <c r="R145" s="108"/>
      <c r="S145" s="7" t="s">
        <v>127</v>
      </c>
      <c r="T145" s="6" t="s">
        <v>3180</v>
      </c>
      <c r="U145" s="6" t="s">
        <v>20</v>
      </c>
      <c r="V145" s="24" t="e">
        <f t="shared" ca="1" si="2"/>
        <v>#NAME?</v>
      </c>
      <c r="W145" s="24"/>
      <c r="X145" s="24"/>
      <c r="Y145" s="6" t="s">
        <v>240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2940</v>
      </c>
      <c r="BH145" s="110">
        <v>0</v>
      </c>
      <c r="BI145" s="110" t="s">
        <v>2940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2929</v>
      </c>
      <c r="B146" s="37" t="s">
        <v>1181</v>
      </c>
      <c r="C146" s="9">
        <v>436161</v>
      </c>
      <c r="D146" s="9" t="s">
        <v>19</v>
      </c>
      <c r="E146" s="9" t="s">
        <v>35</v>
      </c>
      <c r="F146" s="9" t="s">
        <v>250</v>
      </c>
      <c r="G146" s="7" t="e">
        <f t="shared" ca="1" si="0"/>
        <v>#NAME?</v>
      </c>
      <c r="H146" s="8" t="s">
        <v>145</v>
      </c>
      <c r="I146" s="24" t="s">
        <v>146</v>
      </c>
      <c r="J146" s="9" t="str">
        <f t="shared" si="3"/>
        <v>Não</v>
      </c>
      <c r="K146" s="25">
        <v>44421</v>
      </c>
      <c r="L146" s="6"/>
      <c r="M146" s="6" t="s">
        <v>185</v>
      </c>
      <c r="N146" s="10">
        <v>1.4999999999999999E-2</v>
      </c>
      <c r="O146" s="9" t="s">
        <v>39</v>
      </c>
      <c r="P146" s="234">
        <v>0.1</v>
      </c>
      <c r="Q146" s="23"/>
      <c r="R146" s="28" t="s">
        <v>3181</v>
      </c>
      <c r="S146" s="7" t="s">
        <v>127</v>
      </c>
      <c r="T146" s="6" t="s">
        <v>1183</v>
      </c>
      <c r="U146" s="6" t="s">
        <v>202</v>
      </c>
      <c r="V146" s="24" t="e">
        <f t="shared" ca="1" si="2"/>
        <v>#NAME?</v>
      </c>
      <c r="W146" s="24"/>
      <c r="X146" s="24"/>
      <c r="Y146" s="6" t="s">
        <v>240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2929</v>
      </c>
      <c r="B147" s="37" t="s">
        <v>3182</v>
      </c>
      <c r="C147" s="9">
        <v>457585</v>
      </c>
      <c r="D147" s="9" t="s">
        <v>19</v>
      </c>
      <c r="E147" s="9" t="s">
        <v>35</v>
      </c>
      <c r="F147" s="6" t="s">
        <v>250</v>
      </c>
      <c r="G147" s="7" t="e">
        <f t="shared" ca="1" si="0"/>
        <v>#NAME?</v>
      </c>
      <c r="H147" s="8" t="s">
        <v>125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185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127</v>
      </c>
      <c r="T147" s="6" t="s">
        <v>3183</v>
      </c>
      <c r="U147" s="6" t="s">
        <v>202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2940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2929</v>
      </c>
      <c r="B148" s="37" t="s">
        <v>3182</v>
      </c>
      <c r="C148" s="9">
        <v>457610</v>
      </c>
      <c r="D148" s="9" t="s">
        <v>19</v>
      </c>
      <c r="E148" s="9" t="s">
        <v>35</v>
      </c>
      <c r="F148" s="6" t="s">
        <v>250</v>
      </c>
      <c r="G148" s="7" t="e">
        <f t="shared" ca="1" si="0"/>
        <v>#NAME?</v>
      </c>
      <c r="H148" s="8" t="s">
        <v>125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185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127</v>
      </c>
      <c r="T148" s="6" t="s">
        <v>3183</v>
      </c>
      <c r="U148" s="6" t="s">
        <v>202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2940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2929</v>
      </c>
      <c r="B149" s="37" t="s">
        <v>3182</v>
      </c>
      <c r="C149" s="9">
        <v>457613</v>
      </c>
      <c r="D149" s="9" t="s">
        <v>19</v>
      </c>
      <c r="E149" s="9" t="s">
        <v>35</v>
      </c>
      <c r="F149" s="6" t="s">
        <v>250</v>
      </c>
      <c r="G149" s="7" t="e">
        <f t="shared" ca="1" si="0"/>
        <v>#NAME?</v>
      </c>
      <c r="H149" s="8" t="s">
        <v>125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185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127</v>
      </c>
      <c r="T149" s="6" t="s">
        <v>3183</v>
      </c>
      <c r="U149" s="6" t="s">
        <v>202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2940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2929</v>
      </c>
      <c r="B150" s="37" t="s">
        <v>3182</v>
      </c>
      <c r="C150" s="9">
        <v>457618</v>
      </c>
      <c r="D150" s="9" t="s">
        <v>19</v>
      </c>
      <c r="E150" s="9" t="s">
        <v>35</v>
      </c>
      <c r="F150" s="6" t="s">
        <v>250</v>
      </c>
      <c r="G150" s="7" t="e">
        <f t="shared" ca="1" si="0"/>
        <v>#NAME?</v>
      </c>
      <c r="H150" s="8" t="s">
        <v>125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185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127</v>
      </c>
      <c r="T150" s="6" t="s">
        <v>3183</v>
      </c>
      <c r="U150" s="6" t="s">
        <v>202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2940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2929</v>
      </c>
      <c r="B151" s="3" t="s">
        <v>3184</v>
      </c>
      <c r="C151" s="9">
        <v>457618</v>
      </c>
      <c r="D151" s="9" t="s">
        <v>19</v>
      </c>
      <c r="E151" s="9" t="s">
        <v>35</v>
      </c>
      <c r="F151" s="7" t="s">
        <v>199</v>
      </c>
      <c r="G151" s="7" t="e">
        <f t="shared" ca="1" si="0"/>
        <v>#NAME?</v>
      </c>
      <c r="H151" s="8" t="s">
        <v>125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185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127</v>
      </c>
      <c r="T151" s="6" t="s">
        <v>3185</v>
      </c>
      <c r="U151" s="7" t="s">
        <v>202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2940</v>
      </c>
      <c r="BH151" s="132">
        <v>0</v>
      </c>
      <c r="BI151" s="132" t="s">
        <v>2940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2929</v>
      </c>
      <c r="B152" s="3" t="s">
        <v>3186</v>
      </c>
      <c r="C152" s="9">
        <v>446642</v>
      </c>
      <c r="D152" s="9" t="s">
        <v>2931</v>
      </c>
      <c r="E152" s="9" t="s">
        <v>20</v>
      </c>
      <c r="F152" s="6" t="s">
        <v>2932</v>
      </c>
      <c r="G152" s="7" t="e">
        <f t="shared" ca="1" si="0"/>
        <v>#NAME?</v>
      </c>
      <c r="H152" s="8" t="s">
        <v>125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127</v>
      </c>
      <c r="T152" s="6" t="s">
        <v>3187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2940</v>
      </c>
      <c r="BH152" s="110">
        <v>0</v>
      </c>
      <c r="BI152" s="110" t="s">
        <v>2940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2929</v>
      </c>
      <c r="B153" s="37" t="s">
        <v>3188</v>
      </c>
      <c r="C153" s="9">
        <v>319476</v>
      </c>
      <c r="D153" s="9" t="s">
        <v>19</v>
      </c>
      <c r="E153" s="9" t="s">
        <v>20</v>
      </c>
      <c r="F153" s="6" t="s">
        <v>184</v>
      </c>
      <c r="G153" s="7" t="e">
        <f t="shared" ca="1" si="0"/>
        <v>#NAME?</v>
      </c>
      <c r="H153" s="8" t="s">
        <v>125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333</v>
      </c>
      <c r="N153" s="10">
        <v>0.01</v>
      </c>
      <c r="O153" s="9" t="s">
        <v>39</v>
      </c>
      <c r="P153" s="234">
        <v>0.2</v>
      </c>
      <c r="Q153" s="258"/>
      <c r="R153" s="108" t="s">
        <v>3189</v>
      </c>
      <c r="S153" s="7" t="s">
        <v>127</v>
      </c>
      <c r="T153" s="6" t="s">
        <v>3190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2940</v>
      </c>
      <c r="BH153" s="110">
        <v>0</v>
      </c>
      <c r="BI153" s="110" t="s">
        <v>2940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2929</v>
      </c>
      <c r="B154" s="3" t="s">
        <v>3191</v>
      </c>
      <c r="C154" s="9">
        <v>466570</v>
      </c>
      <c r="D154" s="9" t="s">
        <v>19</v>
      </c>
      <c r="E154" s="9" t="s">
        <v>35</v>
      </c>
      <c r="F154" s="9" t="s">
        <v>199</v>
      </c>
      <c r="G154" s="7" t="e">
        <f t="shared" ca="1" si="0"/>
        <v>#NAME?</v>
      </c>
      <c r="H154" s="8" t="s">
        <v>125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185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127</v>
      </c>
      <c r="T154" s="6" t="s">
        <v>3192</v>
      </c>
      <c r="U154" s="6" t="s">
        <v>202</v>
      </c>
      <c r="V154" s="24" t="e">
        <f t="shared" ca="1" si="2"/>
        <v>#NAME?</v>
      </c>
      <c r="W154" s="24"/>
      <c r="X154" s="24"/>
      <c r="Y154" s="6" t="s">
        <v>240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2929</v>
      </c>
      <c r="B155" s="3" t="s">
        <v>3193</v>
      </c>
      <c r="C155" s="9">
        <v>457787</v>
      </c>
      <c r="D155" s="9" t="s">
        <v>19</v>
      </c>
      <c r="E155" s="9" t="s">
        <v>35</v>
      </c>
      <c r="F155" s="6" t="s">
        <v>250</v>
      </c>
      <c r="G155" s="7" t="e">
        <f t="shared" ca="1" si="0"/>
        <v>#NAME?</v>
      </c>
      <c r="H155" s="8" t="s">
        <v>125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333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127</v>
      </c>
      <c r="T155" s="6" t="s">
        <v>3194</v>
      </c>
      <c r="U155" s="6" t="s">
        <v>202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2940</v>
      </c>
      <c r="BH155" s="110">
        <v>0</v>
      </c>
      <c r="BI155" s="110" t="s">
        <v>2940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2929</v>
      </c>
      <c r="B156" s="36" t="s">
        <v>3195</v>
      </c>
      <c r="C156" s="9">
        <v>47285</v>
      </c>
      <c r="D156" s="9" t="s">
        <v>19</v>
      </c>
      <c r="E156" s="9" t="s">
        <v>35</v>
      </c>
      <c r="F156" s="6" t="s">
        <v>250</v>
      </c>
      <c r="G156" s="7" t="e">
        <f t="shared" ca="1" si="0"/>
        <v>#NAME?</v>
      </c>
      <c r="H156" s="8" t="s">
        <v>145</v>
      </c>
      <c r="I156" s="24" t="s">
        <v>146</v>
      </c>
      <c r="J156" s="9" t="str">
        <f t="shared" si="3"/>
        <v>Sim</v>
      </c>
      <c r="K156" s="232">
        <v>44665</v>
      </c>
      <c r="L156" s="6"/>
      <c r="M156" s="6" t="s">
        <v>333</v>
      </c>
      <c r="N156" s="233">
        <v>0.02</v>
      </c>
      <c r="O156" s="9" t="s">
        <v>39</v>
      </c>
      <c r="P156" s="234">
        <v>0.2</v>
      </c>
      <c r="Q156" s="108" t="s">
        <v>3196</v>
      </c>
      <c r="R156" s="108"/>
      <c r="S156" s="7" t="s">
        <v>127</v>
      </c>
      <c r="T156" s="9" t="s">
        <v>3197</v>
      </c>
      <c r="U156" s="6" t="s">
        <v>202</v>
      </c>
      <c r="V156" s="24" t="e">
        <f t="shared" ca="1" si="2"/>
        <v>#NAME?</v>
      </c>
      <c r="W156" s="24"/>
      <c r="X156" s="24"/>
      <c r="Y156" s="6" t="s">
        <v>240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2929</v>
      </c>
      <c r="B157" s="36" t="s">
        <v>3198</v>
      </c>
      <c r="C157" s="9">
        <v>434550</v>
      </c>
      <c r="D157" s="9" t="s">
        <v>2931</v>
      </c>
      <c r="E157" s="9" t="s">
        <v>20</v>
      </c>
      <c r="F157" s="9" t="s">
        <v>2932</v>
      </c>
      <c r="G157" s="7" t="e">
        <f t="shared" ca="1" si="0"/>
        <v>#NAME?</v>
      </c>
      <c r="H157" s="8" t="s">
        <v>145</v>
      </c>
      <c r="I157" s="24" t="s">
        <v>146</v>
      </c>
      <c r="J157" s="9" t="str">
        <f t="shared" si="3"/>
        <v>Sim</v>
      </c>
      <c r="K157" s="232">
        <v>43703</v>
      </c>
      <c r="L157" s="6"/>
      <c r="M157" s="6" t="s">
        <v>185</v>
      </c>
      <c r="N157" s="233">
        <v>0.01</v>
      </c>
      <c r="O157" s="9" t="s">
        <v>39</v>
      </c>
      <c r="P157" s="234">
        <v>0.1</v>
      </c>
      <c r="Q157" s="108" t="s">
        <v>2955</v>
      </c>
      <c r="R157" s="235" t="s">
        <v>3199</v>
      </c>
      <c r="S157" s="7" t="s">
        <v>127</v>
      </c>
      <c r="T157" s="9" t="s">
        <v>3200</v>
      </c>
      <c r="U157" s="6" t="s">
        <v>66</v>
      </c>
      <c r="V157" s="24" t="e">
        <f t="shared" ca="1" si="2"/>
        <v>#NAME?</v>
      </c>
      <c r="W157" s="24"/>
      <c r="X157" s="24"/>
      <c r="Y157" s="6" t="s">
        <v>240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2929</v>
      </c>
      <c r="B158" s="36" t="s">
        <v>3198</v>
      </c>
      <c r="C158" s="9">
        <v>463906</v>
      </c>
      <c r="D158" s="9" t="s">
        <v>2931</v>
      </c>
      <c r="E158" s="9" t="s">
        <v>20</v>
      </c>
      <c r="F158" s="9" t="s">
        <v>2932</v>
      </c>
      <c r="G158" s="7" t="e">
        <f t="shared" ca="1" si="0"/>
        <v>#NAME?</v>
      </c>
      <c r="H158" s="8" t="s">
        <v>145</v>
      </c>
      <c r="I158" s="24" t="s">
        <v>146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3201</v>
      </c>
      <c r="S158" s="7" t="s">
        <v>127</v>
      </c>
      <c r="T158" s="9" t="s">
        <v>3200</v>
      </c>
      <c r="U158" s="6" t="s">
        <v>66</v>
      </c>
      <c r="V158" s="24" t="e">
        <f t="shared" ca="1" si="2"/>
        <v>#NAME?</v>
      </c>
      <c r="W158" s="24"/>
      <c r="X158" s="24"/>
      <c r="Y158" s="6" t="s">
        <v>240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2929</v>
      </c>
      <c r="B159" s="3" t="s">
        <v>3202</v>
      </c>
      <c r="C159" s="9">
        <v>433089</v>
      </c>
      <c r="D159" s="9" t="s">
        <v>2931</v>
      </c>
      <c r="E159" s="9" t="s">
        <v>20</v>
      </c>
      <c r="F159" s="6" t="s">
        <v>2932</v>
      </c>
      <c r="G159" s="7" t="e">
        <f t="shared" ca="1" si="0"/>
        <v>#NAME?</v>
      </c>
      <c r="H159" s="8" t="s">
        <v>125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185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127</v>
      </c>
      <c r="T159" s="6" t="s">
        <v>3203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2940</v>
      </c>
      <c r="BH159" s="110">
        <v>0</v>
      </c>
      <c r="BI159" s="110" t="s">
        <v>2940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2929</v>
      </c>
      <c r="B160" s="3" t="s">
        <v>3204</v>
      </c>
      <c r="C160" s="9">
        <v>446028</v>
      </c>
      <c r="D160" s="9" t="s">
        <v>2931</v>
      </c>
      <c r="E160" s="9" t="s">
        <v>20</v>
      </c>
      <c r="F160" s="9" t="s">
        <v>2932</v>
      </c>
      <c r="G160" s="7" t="e">
        <f t="shared" ca="1" si="0"/>
        <v>#NAME?</v>
      </c>
      <c r="H160" s="8" t="s">
        <v>145</v>
      </c>
      <c r="I160" s="24" t="s">
        <v>146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3205</v>
      </c>
      <c r="S160" s="7" t="s">
        <v>127</v>
      </c>
      <c r="T160" s="6" t="s">
        <v>3206</v>
      </c>
      <c r="U160" s="6" t="s">
        <v>20</v>
      </c>
      <c r="V160" s="24" t="e">
        <f t="shared" ca="1" si="2"/>
        <v>#NAME?</v>
      </c>
      <c r="W160" s="24"/>
      <c r="X160" s="24"/>
      <c r="Y160" s="6" t="s">
        <v>240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2929</v>
      </c>
      <c r="B161" s="3" t="s">
        <v>3207</v>
      </c>
      <c r="C161" s="9">
        <v>582831</v>
      </c>
      <c r="D161" s="9" t="s">
        <v>2931</v>
      </c>
      <c r="E161" s="9" t="s">
        <v>20</v>
      </c>
      <c r="F161" s="6" t="s">
        <v>2938</v>
      </c>
      <c r="G161" s="7" t="e">
        <f t="shared" ca="1" si="0"/>
        <v>#NAME?</v>
      </c>
      <c r="H161" s="8" t="s">
        <v>125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185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127</v>
      </c>
      <c r="T161" s="6" t="s">
        <v>3208</v>
      </c>
      <c r="U161" s="6" t="s">
        <v>350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2940</v>
      </c>
      <c r="BH161" s="110">
        <v>0</v>
      </c>
      <c r="BI161" s="110" t="s">
        <v>2940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2929</v>
      </c>
      <c r="B162" s="106" t="s">
        <v>1274</v>
      </c>
      <c r="C162" s="9">
        <v>34388</v>
      </c>
      <c r="D162" s="9" t="s">
        <v>19</v>
      </c>
      <c r="E162" s="9" t="s">
        <v>35</v>
      </c>
      <c r="F162" s="9" t="s">
        <v>199</v>
      </c>
      <c r="G162" s="7" t="e">
        <f t="shared" ca="1" si="0"/>
        <v>#NAME?</v>
      </c>
      <c r="H162" s="8" t="s">
        <v>145</v>
      </c>
      <c r="I162" s="24" t="s">
        <v>146</v>
      </c>
      <c r="J162" s="9" t="str">
        <f t="shared" si="3"/>
        <v>Sim</v>
      </c>
      <c r="K162" s="232">
        <v>44263</v>
      </c>
      <c r="L162" s="6"/>
      <c r="M162" s="6" t="s">
        <v>333</v>
      </c>
      <c r="N162" s="233">
        <v>0.02</v>
      </c>
      <c r="O162" s="9" t="s">
        <v>39</v>
      </c>
      <c r="P162" s="234">
        <v>0.2</v>
      </c>
      <c r="Q162" s="108" t="s">
        <v>3209</v>
      </c>
      <c r="R162" s="235" t="s">
        <v>3210</v>
      </c>
      <c r="S162" s="7" t="s">
        <v>127</v>
      </c>
      <c r="T162" s="9" t="s">
        <v>1277</v>
      </c>
      <c r="U162" s="6" t="s">
        <v>202</v>
      </c>
      <c r="V162" s="24" t="e">
        <f t="shared" ca="1" si="2"/>
        <v>#NAME?</v>
      </c>
      <c r="W162" s="24"/>
      <c r="X162" s="24"/>
      <c r="Y162" s="6" t="s">
        <v>240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2929</v>
      </c>
      <c r="B163" s="106" t="s">
        <v>1274</v>
      </c>
      <c r="C163" s="9">
        <v>34321</v>
      </c>
      <c r="D163" s="9" t="s">
        <v>19</v>
      </c>
      <c r="E163" s="9" t="s">
        <v>35</v>
      </c>
      <c r="F163" s="9" t="s">
        <v>199</v>
      </c>
      <c r="G163" s="7" t="e">
        <f t="shared" ca="1" si="0"/>
        <v>#NAME?</v>
      </c>
      <c r="H163" s="8" t="s">
        <v>145</v>
      </c>
      <c r="I163" s="24" t="s">
        <v>146</v>
      </c>
      <c r="J163" s="9" t="str">
        <f t="shared" si="3"/>
        <v>Não</v>
      </c>
      <c r="K163" s="232">
        <v>44396</v>
      </c>
      <c r="L163" s="6"/>
      <c r="M163" s="6" t="s">
        <v>185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127</v>
      </c>
      <c r="T163" s="9" t="s">
        <v>1277</v>
      </c>
      <c r="U163" s="6" t="s">
        <v>202</v>
      </c>
      <c r="V163" s="24" t="e">
        <f t="shared" ca="1" si="2"/>
        <v>#NAME?</v>
      </c>
      <c r="W163" s="24"/>
      <c r="X163" s="24"/>
      <c r="Y163" s="6" t="s">
        <v>240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2929</v>
      </c>
      <c r="B164" s="3" t="s">
        <v>1280</v>
      </c>
      <c r="C164" s="9">
        <v>39937</v>
      </c>
      <c r="D164" s="9" t="s">
        <v>19</v>
      </c>
      <c r="E164" s="9" t="s">
        <v>35</v>
      </c>
      <c r="F164" s="9" t="s">
        <v>2979</v>
      </c>
      <c r="G164" s="7" t="e">
        <f t="shared" ca="1" si="0"/>
        <v>#NAME?</v>
      </c>
      <c r="H164" s="8" t="s">
        <v>145</v>
      </c>
      <c r="I164" s="24" t="s">
        <v>146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127</v>
      </c>
      <c r="T164" s="6" t="s">
        <v>1282</v>
      </c>
      <c r="U164" s="6" t="s">
        <v>202</v>
      </c>
      <c r="V164" s="24" t="e">
        <f t="shared" ca="1" si="2"/>
        <v>#NAME?</v>
      </c>
      <c r="W164" s="24"/>
      <c r="X164" s="24"/>
      <c r="Y164" s="6" t="s">
        <v>240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2929</v>
      </c>
      <c r="B165" s="3" t="s">
        <v>3211</v>
      </c>
      <c r="C165" s="9">
        <v>35673</v>
      </c>
      <c r="D165" s="9" t="s">
        <v>19</v>
      </c>
      <c r="E165" s="9" t="s">
        <v>35</v>
      </c>
      <c r="F165" s="6" t="s">
        <v>199</v>
      </c>
      <c r="G165" s="7" t="e">
        <f t="shared" ca="1" si="0"/>
        <v>#NAME?</v>
      </c>
      <c r="H165" s="8" t="s">
        <v>145</v>
      </c>
      <c r="I165" s="24" t="s">
        <v>146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3212</v>
      </c>
      <c r="S165" s="7" t="s">
        <v>127</v>
      </c>
      <c r="T165" s="6" t="s">
        <v>1294</v>
      </c>
      <c r="U165" s="6" t="s">
        <v>202</v>
      </c>
      <c r="V165" s="24" t="e">
        <f t="shared" ca="1" si="2"/>
        <v>#NAME?</v>
      </c>
      <c r="W165" s="24"/>
      <c r="X165" s="24"/>
      <c r="Y165" s="6" t="s">
        <v>240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2929</v>
      </c>
      <c r="B166" s="3" t="s">
        <v>3213</v>
      </c>
      <c r="C166" s="9">
        <v>480861</v>
      </c>
      <c r="D166" s="9" t="s">
        <v>19</v>
      </c>
      <c r="E166" s="9" t="s">
        <v>35</v>
      </c>
      <c r="F166" s="9" t="s">
        <v>250</v>
      </c>
      <c r="G166" s="7" t="e">
        <f t="shared" ca="1" si="0"/>
        <v>#NAME?</v>
      </c>
      <c r="H166" s="8" t="s">
        <v>145</v>
      </c>
      <c r="I166" s="24" t="s">
        <v>146</v>
      </c>
      <c r="J166" s="9" t="str">
        <f t="shared" si="3"/>
        <v>Não</v>
      </c>
      <c r="K166" s="232">
        <v>44265</v>
      </c>
      <c r="L166" s="6"/>
      <c r="M166" s="6" t="s">
        <v>185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3214</v>
      </c>
      <c r="S166" s="7" t="s">
        <v>127</v>
      </c>
      <c r="T166" s="6" t="s">
        <v>1312</v>
      </c>
      <c r="U166" s="6" t="s">
        <v>20</v>
      </c>
      <c r="V166" s="24" t="e">
        <f t="shared" ca="1" si="2"/>
        <v>#NAME?</v>
      </c>
      <c r="W166" s="24"/>
      <c r="X166" s="24"/>
      <c r="Y166" s="6" t="s">
        <v>129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2929</v>
      </c>
      <c r="B167" s="36" t="s">
        <v>3215</v>
      </c>
      <c r="C167" s="9">
        <v>85554</v>
      </c>
      <c r="D167" s="9" t="s">
        <v>2997</v>
      </c>
      <c r="E167" s="9" t="s">
        <v>20</v>
      </c>
      <c r="F167" s="9" t="s">
        <v>2997</v>
      </c>
      <c r="G167" s="7" t="e">
        <f t="shared" ca="1" si="0"/>
        <v>#NAME?</v>
      </c>
      <c r="H167" s="8" t="s">
        <v>125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242</v>
      </c>
      <c r="N167" s="233">
        <v>0.01</v>
      </c>
      <c r="O167" s="9" t="s">
        <v>167</v>
      </c>
      <c r="P167" s="234">
        <v>0.2</v>
      </c>
      <c r="Q167" s="108"/>
      <c r="R167" s="108"/>
      <c r="S167" s="7" t="s">
        <v>127</v>
      </c>
      <c r="T167" s="9" t="s">
        <v>3216</v>
      </c>
      <c r="U167" s="6" t="s">
        <v>20</v>
      </c>
      <c r="V167" s="24" t="e">
        <f t="shared" ca="1" si="2"/>
        <v>#NAME?</v>
      </c>
      <c r="W167" s="24"/>
      <c r="X167" s="24"/>
      <c r="Y167" s="6" t="s">
        <v>240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2929</v>
      </c>
      <c r="B168" s="3" t="s">
        <v>1318</v>
      </c>
      <c r="C168" s="9">
        <v>86513</v>
      </c>
      <c r="D168" s="9" t="s">
        <v>19</v>
      </c>
      <c r="E168" s="9" t="s">
        <v>35</v>
      </c>
      <c r="F168" s="9" t="s">
        <v>199</v>
      </c>
      <c r="G168" s="7" t="e">
        <f t="shared" ca="1" si="0"/>
        <v>#NAME?</v>
      </c>
      <c r="H168" s="8" t="s">
        <v>145</v>
      </c>
      <c r="I168" s="24" t="s">
        <v>146</v>
      </c>
      <c r="J168" s="9" t="str">
        <f t="shared" si="3"/>
        <v>Não</v>
      </c>
      <c r="K168" s="232">
        <v>44319</v>
      </c>
      <c r="L168" s="6"/>
      <c r="M168" s="6" t="s">
        <v>185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3217</v>
      </c>
      <c r="S168" s="7" t="s">
        <v>127</v>
      </c>
      <c r="T168" s="6" t="s">
        <v>1320</v>
      </c>
      <c r="U168" s="6" t="s">
        <v>202</v>
      </c>
      <c r="V168" s="24" t="e">
        <f t="shared" ca="1" si="2"/>
        <v>#NAME?</v>
      </c>
      <c r="W168" s="24"/>
      <c r="X168" s="24"/>
      <c r="Y168" s="6" t="s">
        <v>240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2929</v>
      </c>
      <c r="B169" s="3" t="s">
        <v>1326</v>
      </c>
      <c r="C169" s="9">
        <v>32187</v>
      </c>
      <c r="D169" s="9" t="s">
        <v>19</v>
      </c>
      <c r="E169" s="9" t="s">
        <v>35</v>
      </c>
      <c r="F169" s="9" t="s">
        <v>199</v>
      </c>
      <c r="G169" s="7" t="e">
        <f t="shared" ca="1" si="0"/>
        <v>#NAME?</v>
      </c>
      <c r="H169" s="8" t="s">
        <v>145</v>
      </c>
      <c r="I169" s="24" t="s">
        <v>146</v>
      </c>
      <c r="J169" s="9" t="str">
        <f t="shared" si="3"/>
        <v>Sim</v>
      </c>
      <c r="K169" s="232">
        <v>44319</v>
      </c>
      <c r="L169" s="6"/>
      <c r="M169" s="6" t="s">
        <v>242</v>
      </c>
      <c r="N169" s="233">
        <v>1.4999999999999999E-2</v>
      </c>
      <c r="O169" s="9" t="s">
        <v>167</v>
      </c>
      <c r="P169" s="234">
        <v>0.2</v>
      </c>
      <c r="Q169" s="28" t="s">
        <v>3218</v>
      </c>
      <c r="R169" s="235" t="s">
        <v>3219</v>
      </c>
      <c r="S169" s="7" t="s">
        <v>127</v>
      </c>
      <c r="T169" s="6" t="s">
        <v>1328</v>
      </c>
      <c r="U169" s="6" t="s">
        <v>202</v>
      </c>
      <c r="V169" s="24" t="e">
        <f t="shared" ca="1" si="2"/>
        <v>#NAME?</v>
      </c>
      <c r="W169" s="24"/>
      <c r="X169" s="24"/>
      <c r="Y169" s="6" t="s">
        <v>240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2929</v>
      </c>
      <c r="B170" s="37" t="s">
        <v>3220</v>
      </c>
      <c r="C170" s="9">
        <v>289414</v>
      </c>
      <c r="D170" s="9" t="s">
        <v>2931</v>
      </c>
      <c r="E170" s="9" t="s">
        <v>20</v>
      </c>
      <c r="F170" s="6" t="s">
        <v>2938</v>
      </c>
      <c r="G170" s="7" t="e">
        <f t="shared" ca="1" si="0"/>
        <v>#NAME?</v>
      </c>
      <c r="H170" s="8" t="s">
        <v>125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185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127</v>
      </c>
      <c r="T170" s="6" t="s">
        <v>3221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2940</v>
      </c>
      <c r="BH170" s="110">
        <v>0</v>
      </c>
      <c r="BI170" s="110" t="s">
        <v>2940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2929</v>
      </c>
      <c r="B171" s="37" t="s">
        <v>3222</v>
      </c>
      <c r="C171" s="9">
        <v>445839</v>
      </c>
      <c r="D171" s="9" t="s">
        <v>19</v>
      </c>
      <c r="E171" s="9" t="s">
        <v>35</v>
      </c>
      <c r="F171" s="9" t="s">
        <v>250</v>
      </c>
      <c r="G171" s="7" t="e">
        <f t="shared" ca="1" si="0"/>
        <v>#NAME?</v>
      </c>
      <c r="H171" s="8" t="s">
        <v>145</v>
      </c>
      <c r="I171" s="24" t="s">
        <v>146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127</v>
      </c>
      <c r="T171" s="6" t="s">
        <v>3223</v>
      </c>
      <c r="U171" s="6" t="s">
        <v>202</v>
      </c>
      <c r="V171" s="24" t="e">
        <f t="shared" ca="1" si="2"/>
        <v>#NAME?</v>
      </c>
      <c r="W171" s="24"/>
      <c r="X171" s="24"/>
      <c r="Y171" s="6" t="s">
        <v>240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2929</v>
      </c>
      <c r="B172" s="37" t="s">
        <v>3224</v>
      </c>
      <c r="C172" s="9">
        <v>580880</v>
      </c>
      <c r="D172" s="9" t="s">
        <v>2931</v>
      </c>
      <c r="E172" s="9" t="s">
        <v>20</v>
      </c>
      <c r="F172" s="6" t="s">
        <v>2932</v>
      </c>
      <c r="G172" s="7" t="e">
        <f t="shared" ca="1" si="0"/>
        <v>#NAME?</v>
      </c>
      <c r="H172" s="8" t="s">
        <v>125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242</v>
      </c>
      <c r="N172" s="10">
        <v>0.02</v>
      </c>
      <c r="O172" s="9" t="s">
        <v>167</v>
      </c>
      <c r="P172" s="234">
        <v>0.2</v>
      </c>
      <c r="Q172" s="108"/>
      <c r="R172" s="108"/>
      <c r="S172" s="7" t="s">
        <v>127</v>
      </c>
      <c r="T172" s="6" t="s">
        <v>3225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2940</v>
      </c>
      <c r="BH172" s="110">
        <v>0</v>
      </c>
      <c r="BI172" s="110" t="s">
        <v>2940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2929</v>
      </c>
      <c r="B173" s="3" t="s">
        <v>3226</v>
      </c>
      <c r="C173" s="9">
        <v>424292</v>
      </c>
      <c r="D173" s="9" t="s">
        <v>19</v>
      </c>
      <c r="E173" s="9" t="s">
        <v>35</v>
      </c>
      <c r="F173" s="6" t="s">
        <v>199</v>
      </c>
      <c r="G173" s="7" t="e">
        <f t="shared" ca="1" si="0"/>
        <v>#NAME?</v>
      </c>
      <c r="H173" s="8" t="s">
        <v>125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185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127</v>
      </c>
      <c r="T173" s="6" t="s">
        <v>3227</v>
      </c>
      <c r="U173" s="6" t="s">
        <v>202</v>
      </c>
      <c r="V173" s="24" t="e">
        <f t="shared" ca="1" si="2"/>
        <v>#NAME?</v>
      </c>
      <c r="W173" s="24"/>
      <c r="X173" s="24"/>
      <c r="Y173" s="6" t="s">
        <v>240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2940</v>
      </c>
      <c r="BH173" s="110">
        <v>0</v>
      </c>
      <c r="BI173" s="110" t="s">
        <v>2940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2929</v>
      </c>
      <c r="B174" s="37" t="s">
        <v>3228</v>
      </c>
      <c r="C174" s="9">
        <v>43169</v>
      </c>
      <c r="D174" s="9" t="s">
        <v>19</v>
      </c>
      <c r="E174" s="9" t="s">
        <v>20</v>
      </c>
      <c r="F174" s="6" t="s">
        <v>3080</v>
      </c>
      <c r="G174" s="7" t="e">
        <f t="shared" ca="1" si="0"/>
        <v>#NAME?</v>
      </c>
      <c r="H174" s="8" t="s">
        <v>125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333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3229</v>
      </c>
      <c r="S174" s="7" t="s">
        <v>171</v>
      </c>
      <c r="T174" s="6" t="s">
        <v>3230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2940</v>
      </c>
      <c r="BH174" s="110">
        <v>0</v>
      </c>
      <c r="BI174" s="110" t="s">
        <v>2940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2929</v>
      </c>
      <c r="B175" s="37" t="s">
        <v>3231</v>
      </c>
      <c r="C175" s="9">
        <v>77294</v>
      </c>
      <c r="D175" s="9" t="s">
        <v>2997</v>
      </c>
      <c r="E175" s="9" t="s">
        <v>20</v>
      </c>
      <c r="F175" s="6" t="s">
        <v>2997</v>
      </c>
      <c r="G175" s="7" t="e">
        <f t="shared" ca="1" si="0"/>
        <v>#NAME?</v>
      </c>
      <c r="H175" s="8" t="s">
        <v>125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185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127</v>
      </c>
      <c r="T175" s="6" t="s">
        <v>3232</v>
      </c>
      <c r="U175" s="6" t="s">
        <v>20</v>
      </c>
      <c r="V175" s="24" t="e">
        <f t="shared" ca="1" si="2"/>
        <v>#NAME?</v>
      </c>
      <c r="W175" s="24"/>
      <c r="X175" s="24"/>
      <c r="Y175" s="6" t="s">
        <v>129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2940</v>
      </c>
      <c r="BH175" s="110">
        <v>0</v>
      </c>
      <c r="BI175" s="110" t="s">
        <v>2940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2929</v>
      </c>
      <c r="B176" s="37" t="s">
        <v>3231</v>
      </c>
      <c r="C176" s="9">
        <v>88938</v>
      </c>
      <c r="D176" s="9" t="s">
        <v>2997</v>
      </c>
      <c r="E176" s="9" t="s">
        <v>20</v>
      </c>
      <c r="F176" s="6" t="s">
        <v>2997</v>
      </c>
      <c r="G176" s="7" t="e">
        <f t="shared" ca="1" si="0"/>
        <v>#NAME?</v>
      </c>
      <c r="H176" s="8" t="s">
        <v>125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242</v>
      </c>
      <c r="N176" s="10">
        <v>1.7999999999999999E-2</v>
      </c>
      <c r="O176" s="9" t="s">
        <v>167</v>
      </c>
      <c r="P176" s="234">
        <v>0.2</v>
      </c>
      <c r="Q176" s="235"/>
      <c r="R176" s="108"/>
      <c r="S176" s="7" t="s">
        <v>127</v>
      </c>
      <c r="T176" s="6" t="s">
        <v>3232</v>
      </c>
      <c r="U176" s="6" t="s">
        <v>20</v>
      </c>
      <c r="V176" s="24" t="e">
        <f t="shared" ca="1" si="2"/>
        <v>#NAME?</v>
      </c>
      <c r="W176" s="24"/>
      <c r="X176" s="24"/>
      <c r="Y176" s="6" t="s">
        <v>129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2940</v>
      </c>
      <c r="BH176" s="110">
        <v>0</v>
      </c>
      <c r="BI176" s="110" t="s">
        <v>2940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2929</v>
      </c>
      <c r="B177" s="3" t="s">
        <v>3233</v>
      </c>
      <c r="C177" s="9">
        <v>464995</v>
      </c>
      <c r="D177" s="9" t="s">
        <v>19</v>
      </c>
      <c r="E177" s="9" t="s">
        <v>35</v>
      </c>
      <c r="F177" s="9" t="s">
        <v>250</v>
      </c>
      <c r="G177" s="7" t="e">
        <f t="shared" ca="1" si="0"/>
        <v>#NAME?</v>
      </c>
      <c r="H177" s="8" t="s">
        <v>145</v>
      </c>
      <c r="I177" s="24" t="s">
        <v>146</v>
      </c>
      <c r="J177" s="9" t="str">
        <f t="shared" si="3"/>
        <v>Não</v>
      </c>
      <c r="K177" s="232">
        <v>44291</v>
      </c>
      <c r="L177" s="6"/>
      <c r="M177" s="6" t="s">
        <v>185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3100</v>
      </c>
      <c r="S177" s="7" t="s">
        <v>171</v>
      </c>
      <c r="T177" s="6" t="s">
        <v>3234</v>
      </c>
      <c r="U177" s="6" t="s">
        <v>202</v>
      </c>
      <c r="V177" s="24" t="e">
        <f t="shared" ca="1" si="2"/>
        <v>#NAME?</v>
      </c>
      <c r="W177" s="24"/>
      <c r="X177" s="24"/>
      <c r="Y177" s="6" t="s">
        <v>240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2929</v>
      </c>
      <c r="B178" s="36" t="s">
        <v>3235</v>
      </c>
      <c r="C178" s="9">
        <v>579208</v>
      </c>
      <c r="D178" s="9" t="s">
        <v>19</v>
      </c>
      <c r="E178" s="9" t="s">
        <v>20</v>
      </c>
      <c r="F178" s="9" t="s">
        <v>184</v>
      </c>
      <c r="G178" s="7" t="e">
        <f t="shared" ca="1" si="0"/>
        <v>#NAME?</v>
      </c>
      <c r="H178" s="8" t="s">
        <v>134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3236</v>
      </c>
      <c r="S178" s="7" t="s">
        <v>127</v>
      </c>
      <c r="T178" s="9" t="s">
        <v>3237</v>
      </c>
      <c r="U178" s="6" t="s">
        <v>20</v>
      </c>
      <c r="V178" s="24" t="e">
        <f t="shared" ca="1" si="2"/>
        <v>#NAME?</v>
      </c>
      <c r="W178" s="24"/>
      <c r="X178" s="24"/>
      <c r="Y178" s="6" t="s">
        <v>240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2929</v>
      </c>
      <c r="B179" s="36" t="s">
        <v>3235</v>
      </c>
      <c r="C179" s="9">
        <v>582180</v>
      </c>
      <c r="D179" s="9" t="s">
        <v>19</v>
      </c>
      <c r="E179" s="9" t="s">
        <v>20</v>
      </c>
      <c r="F179" s="9" t="s">
        <v>184</v>
      </c>
      <c r="G179" s="7" t="e">
        <f t="shared" ca="1" si="0"/>
        <v>#NAME?</v>
      </c>
      <c r="H179" s="8" t="s">
        <v>134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242</v>
      </c>
      <c r="N179" s="233">
        <v>0.02</v>
      </c>
      <c r="O179" s="9" t="s">
        <v>167</v>
      </c>
      <c r="P179" s="234">
        <v>0.2</v>
      </c>
      <c r="Q179" s="108"/>
      <c r="R179" s="108" t="s">
        <v>3236</v>
      </c>
      <c r="S179" s="7" t="s">
        <v>127</v>
      </c>
      <c r="T179" s="9" t="s">
        <v>3237</v>
      </c>
      <c r="U179" s="6" t="s">
        <v>20</v>
      </c>
      <c r="V179" s="24" t="e">
        <f t="shared" ca="1" si="2"/>
        <v>#NAME?</v>
      </c>
      <c r="W179" s="24"/>
      <c r="X179" s="24"/>
      <c r="Y179" s="6" t="s">
        <v>240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2929</v>
      </c>
      <c r="B180" s="3" t="s">
        <v>3238</v>
      </c>
      <c r="C180" s="9">
        <v>32073</v>
      </c>
      <c r="D180" s="9" t="s">
        <v>19</v>
      </c>
      <c r="E180" s="9" t="s">
        <v>35</v>
      </c>
      <c r="F180" s="6" t="s">
        <v>199</v>
      </c>
      <c r="G180" s="7" t="e">
        <f t="shared" ca="1" si="0"/>
        <v>#NAME?</v>
      </c>
      <c r="H180" s="8" t="s">
        <v>125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185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127</v>
      </c>
      <c r="T180" s="6" t="s">
        <v>3239</v>
      </c>
      <c r="U180" s="6" t="s">
        <v>202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2940</v>
      </c>
      <c r="BH180" s="110">
        <v>0</v>
      </c>
      <c r="BI180" s="110" t="s">
        <v>2940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2929</v>
      </c>
      <c r="B181" s="3" t="s">
        <v>1384</v>
      </c>
      <c r="C181" s="9">
        <v>32115</v>
      </c>
      <c r="D181" s="9" t="s">
        <v>19</v>
      </c>
      <c r="E181" s="9" t="s">
        <v>35</v>
      </c>
      <c r="F181" s="9" t="s">
        <v>199</v>
      </c>
      <c r="G181" s="7" t="e">
        <f t="shared" ca="1" si="0"/>
        <v>#NAME?</v>
      </c>
      <c r="H181" s="8" t="s">
        <v>145</v>
      </c>
      <c r="I181" s="24" t="s">
        <v>146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127</v>
      </c>
      <c r="T181" s="6" t="s">
        <v>1386</v>
      </c>
      <c r="U181" s="6" t="s">
        <v>202</v>
      </c>
      <c r="V181" s="24" t="e">
        <f t="shared" ca="1" si="2"/>
        <v>#NAME?</v>
      </c>
      <c r="W181" s="24"/>
      <c r="X181" s="24"/>
      <c r="Y181" s="6" t="s">
        <v>240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2929</v>
      </c>
      <c r="B182" s="37" t="s">
        <v>1384</v>
      </c>
      <c r="C182" s="9">
        <v>560590</v>
      </c>
      <c r="D182" s="9" t="s">
        <v>19</v>
      </c>
      <c r="E182" s="9" t="s">
        <v>35</v>
      </c>
      <c r="F182" s="9" t="s">
        <v>199</v>
      </c>
      <c r="G182" s="7" t="e">
        <f t="shared" ca="1" si="0"/>
        <v>#NAME?</v>
      </c>
      <c r="H182" s="8" t="s">
        <v>145</v>
      </c>
      <c r="I182" s="24" t="s">
        <v>146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3240</v>
      </c>
      <c r="R182" s="108"/>
      <c r="S182" s="7" t="s">
        <v>127</v>
      </c>
      <c r="T182" s="6" t="s">
        <v>1386</v>
      </c>
      <c r="U182" s="6" t="s">
        <v>202</v>
      </c>
      <c r="V182" s="24" t="e">
        <f t="shared" ca="1" si="2"/>
        <v>#NAME?</v>
      </c>
      <c r="W182" s="24"/>
      <c r="X182" s="24"/>
      <c r="Y182" s="6" t="s">
        <v>240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2929</v>
      </c>
      <c r="B183" s="3" t="s">
        <v>3241</v>
      </c>
      <c r="C183" s="9">
        <v>467227</v>
      </c>
      <c r="D183" s="9" t="s">
        <v>19</v>
      </c>
      <c r="E183" s="9" t="s">
        <v>35</v>
      </c>
      <c r="F183" s="6" t="s">
        <v>250</v>
      </c>
      <c r="G183" s="7" t="e">
        <f t="shared" ca="1" si="0"/>
        <v>#NAME?</v>
      </c>
      <c r="H183" s="8" t="s">
        <v>125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185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127</v>
      </c>
      <c r="T183" s="6" t="s">
        <v>3242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2940</v>
      </c>
      <c r="BH183" s="110">
        <v>0</v>
      </c>
      <c r="BI183" s="110" t="s">
        <v>2940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2929</v>
      </c>
      <c r="B184" s="3" t="s">
        <v>1398</v>
      </c>
      <c r="C184" s="9">
        <v>451702</v>
      </c>
      <c r="D184" s="9" t="s">
        <v>19</v>
      </c>
      <c r="E184" s="9" t="s">
        <v>35</v>
      </c>
      <c r="F184" s="6" t="s">
        <v>199</v>
      </c>
      <c r="G184" s="7" t="e">
        <f t="shared" ca="1" si="0"/>
        <v>#NAME?</v>
      </c>
      <c r="H184" s="8" t="s">
        <v>145</v>
      </c>
      <c r="I184" s="24" t="s">
        <v>146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127</v>
      </c>
      <c r="T184" s="6" t="s">
        <v>1401</v>
      </c>
      <c r="U184" s="6" t="s">
        <v>202</v>
      </c>
      <c r="V184" s="24" t="e">
        <f t="shared" ca="1" si="2"/>
        <v>#NAME?</v>
      </c>
      <c r="W184" s="24"/>
      <c r="X184" s="24"/>
      <c r="Y184" s="6" t="s">
        <v>240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2929</v>
      </c>
      <c r="B185" s="37" t="s">
        <v>3243</v>
      </c>
      <c r="C185" s="9">
        <v>577670</v>
      </c>
      <c r="D185" s="9" t="s">
        <v>2931</v>
      </c>
      <c r="E185" s="9" t="s">
        <v>20</v>
      </c>
      <c r="F185" s="6" t="s">
        <v>2938</v>
      </c>
      <c r="G185" s="7" t="e">
        <f t="shared" ca="1" si="0"/>
        <v>#NAME?</v>
      </c>
      <c r="H185" s="8" t="s">
        <v>125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185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127</v>
      </c>
      <c r="T185" s="6" t="s">
        <v>3244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2940</v>
      </c>
      <c r="BH185" s="110">
        <v>0</v>
      </c>
      <c r="BI185" s="110" t="s">
        <v>2940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2929</v>
      </c>
      <c r="B186" s="3" t="s">
        <v>3245</v>
      </c>
      <c r="C186" s="9">
        <v>439727</v>
      </c>
      <c r="D186" s="9" t="s">
        <v>19</v>
      </c>
      <c r="E186" s="9" t="s">
        <v>35</v>
      </c>
      <c r="F186" s="9" t="s">
        <v>2979</v>
      </c>
      <c r="G186" s="7" t="e">
        <f t="shared" ca="1" si="0"/>
        <v>#NAME?</v>
      </c>
      <c r="H186" s="8" t="s">
        <v>125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127</v>
      </c>
      <c r="T186" s="6" t="s">
        <v>3246</v>
      </c>
      <c r="U186" s="6" t="s">
        <v>202</v>
      </c>
      <c r="V186" s="24" t="e">
        <f t="shared" ca="1" si="2"/>
        <v>#NAME?</v>
      </c>
      <c r="W186" s="24"/>
      <c r="X186" s="24"/>
      <c r="Y186" s="6" t="s">
        <v>240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2929</v>
      </c>
      <c r="B187" s="3" t="s">
        <v>1406</v>
      </c>
      <c r="C187" s="9">
        <v>76952</v>
      </c>
      <c r="D187" s="9" t="s">
        <v>19</v>
      </c>
      <c r="E187" s="9" t="s">
        <v>35</v>
      </c>
      <c r="F187" s="9" t="s">
        <v>199</v>
      </c>
      <c r="G187" s="7" t="e">
        <f t="shared" ca="1" si="0"/>
        <v>#NAME?</v>
      </c>
      <c r="H187" s="8" t="s">
        <v>145</v>
      </c>
      <c r="I187" s="24" t="s">
        <v>146</v>
      </c>
      <c r="J187" s="9" t="str">
        <f t="shared" si="3"/>
        <v>Não</v>
      </c>
      <c r="K187" s="232">
        <v>44276</v>
      </c>
      <c r="L187" s="6"/>
      <c r="M187" s="6" t="s">
        <v>185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127</v>
      </c>
      <c r="T187" s="6" t="s">
        <v>1408</v>
      </c>
      <c r="U187" s="6" t="s">
        <v>202</v>
      </c>
      <c r="V187" s="24" t="e">
        <f t="shared" ca="1" si="2"/>
        <v>#NAME?</v>
      </c>
      <c r="W187" s="24"/>
      <c r="X187" s="24"/>
      <c r="Y187" s="6" t="s">
        <v>240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2929</v>
      </c>
      <c r="B188" s="106" t="s">
        <v>3247</v>
      </c>
      <c r="C188" s="9">
        <v>381137</v>
      </c>
      <c r="D188" s="9" t="s">
        <v>19</v>
      </c>
      <c r="E188" s="9" t="s">
        <v>20</v>
      </c>
      <c r="F188" s="9" t="s">
        <v>2963</v>
      </c>
      <c r="G188" s="7" t="e">
        <f t="shared" ca="1" si="0"/>
        <v>#NAME?</v>
      </c>
      <c r="H188" s="8" t="s">
        <v>134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3248</v>
      </c>
      <c r="R188" s="108"/>
      <c r="S188" s="7" t="s">
        <v>127</v>
      </c>
      <c r="T188" s="9" t="s">
        <v>3249</v>
      </c>
      <c r="U188" s="6" t="s">
        <v>878</v>
      </c>
      <c r="V188" s="24" t="e">
        <f t="shared" ca="1" si="2"/>
        <v>#NAME?</v>
      </c>
      <c r="W188" s="24"/>
      <c r="X188" s="24"/>
      <c r="Y188" s="6" t="s">
        <v>240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2929</v>
      </c>
      <c r="B189" s="3" t="s">
        <v>3250</v>
      </c>
      <c r="C189" s="9">
        <v>31793</v>
      </c>
      <c r="D189" s="9" t="s">
        <v>19</v>
      </c>
      <c r="E189" s="9" t="s">
        <v>35</v>
      </c>
      <c r="F189" s="6" t="s">
        <v>606</v>
      </c>
      <c r="G189" s="7" t="e">
        <f t="shared" ca="1" si="0"/>
        <v>#NAME?</v>
      </c>
      <c r="H189" s="8" t="s">
        <v>134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185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127</v>
      </c>
      <c r="T189" s="6" t="s">
        <v>3251</v>
      </c>
      <c r="U189" s="6" t="s">
        <v>41</v>
      </c>
      <c r="V189" s="24" t="e">
        <f t="shared" ca="1" si="2"/>
        <v>#NAME?</v>
      </c>
      <c r="W189" s="24"/>
      <c r="X189" s="24"/>
      <c r="Y189" s="6" t="s">
        <v>240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2929</v>
      </c>
      <c r="B190" s="3" t="s">
        <v>3252</v>
      </c>
      <c r="C190" s="9">
        <v>266389</v>
      </c>
      <c r="D190" s="9" t="s">
        <v>19</v>
      </c>
      <c r="E190" s="9" t="s">
        <v>35</v>
      </c>
      <c r="F190" s="9" t="s">
        <v>2979</v>
      </c>
      <c r="G190" s="7" t="e">
        <f t="shared" ca="1" si="0"/>
        <v>#NAME?</v>
      </c>
      <c r="H190" s="8" t="s">
        <v>145</v>
      </c>
      <c r="I190" s="24" t="s">
        <v>146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127</v>
      </c>
      <c r="T190" s="6" t="s">
        <v>3253</v>
      </c>
      <c r="U190" s="6" t="s">
        <v>202</v>
      </c>
      <c r="V190" s="24" t="e">
        <f t="shared" ca="1" si="2"/>
        <v>#NAME?</v>
      </c>
      <c r="W190" s="24"/>
      <c r="X190" s="24"/>
      <c r="Y190" s="6" t="s">
        <v>240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2929</v>
      </c>
      <c r="B191" s="37" t="s">
        <v>3254</v>
      </c>
      <c r="C191" s="9">
        <v>327484</v>
      </c>
      <c r="D191" s="9" t="s">
        <v>19</v>
      </c>
      <c r="E191" s="9" t="s">
        <v>20</v>
      </c>
      <c r="F191" s="6" t="s">
        <v>3080</v>
      </c>
      <c r="G191" s="7" t="e">
        <f t="shared" ca="1" si="0"/>
        <v>#NAME?</v>
      </c>
      <c r="H191" s="8" t="s">
        <v>125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242</v>
      </c>
      <c r="N191" s="10">
        <v>0.01</v>
      </c>
      <c r="O191" s="9" t="s">
        <v>167</v>
      </c>
      <c r="P191" s="234">
        <v>0.2</v>
      </c>
      <c r="Q191" s="108"/>
      <c r="R191" s="108"/>
      <c r="S191" s="7" t="s">
        <v>127</v>
      </c>
      <c r="T191" s="6" t="s">
        <v>3255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2940</v>
      </c>
      <c r="BH191" s="110">
        <v>0</v>
      </c>
      <c r="BI191" s="110" t="s">
        <v>2940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2929</v>
      </c>
      <c r="B192" s="3" t="s">
        <v>3256</v>
      </c>
      <c r="C192" s="9">
        <v>31966</v>
      </c>
      <c r="D192" s="9" t="s">
        <v>19</v>
      </c>
      <c r="E192" s="9" t="s">
        <v>35</v>
      </c>
      <c r="F192" s="9" t="s">
        <v>250</v>
      </c>
      <c r="G192" s="7" t="e">
        <f t="shared" ca="1" si="0"/>
        <v>#NAME?</v>
      </c>
      <c r="H192" s="8" t="s">
        <v>145</v>
      </c>
      <c r="I192" s="24" t="s">
        <v>146</v>
      </c>
      <c r="J192" s="9" t="str">
        <f t="shared" si="3"/>
        <v>Sim</v>
      </c>
      <c r="K192" s="232">
        <v>44656</v>
      </c>
      <c r="L192" s="6"/>
      <c r="M192" s="6" t="s">
        <v>242</v>
      </c>
      <c r="N192" s="233">
        <v>2.5000000000000001E-2</v>
      </c>
      <c r="O192" s="9" t="s">
        <v>167</v>
      </c>
      <c r="P192" s="234">
        <v>0.2</v>
      </c>
      <c r="Q192" s="28" t="s">
        <v>3257</v>
      </c>
      <c r="R192" s="28"/>
      <c r="S192" s="7" t="s">
        <v>127</v>
      </c>
      <c r="T192" s="6" t="s">
        <v>1421</v>
      </c>
      <c r="U192" s="6" t="s">
        <v>202</v>
      </c>
      <c r="V192" s="24" t="e">
        <f t="shared" ca="1" si="2"/>
        <v>#NAME?</v>
      </c>
      <c r="W192" s="24"/>
      <c r="X192" s="24"/>
      <c r="Y192" s="6" t="s">
        <v>240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2929</v>
      </c>
      <c r="B193" s="3" t="s">
        <v>3258</v>
      </c>
      <c r="C193" s="9">
        <v>377270</v>
      </c>
      <c r="D193" s="9" t="s">
        <v>19</v>
      </c>
      <c r="E193" s="9" t="s">
        <v>35</v>
      </c>
      <c r="F193" s="9" t="s">
        <v>250</v>
      </c>
      <c r="G193" s="7" t="e">
        <f t="shared" ca="1" si="0"/>
        <v>#NAME?</v>
      </c>
      <c r="H193" s="8" t="s">
        <v>125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867</v>
      </c>
      <c r="N193" s="6" t="s">
        <v>3259</v>
      </c>
      <c r="O193" s="9" t="s">
        <v>167</v>
      </c>
      <c r="P193" s="234">
        <v>0.2</v>
      </c>
      <c r="Q193" s="235"/>
      <c r="R193" s="235"/>
      <c r="S193" s="7" t="s">
        <v>127</v>
      </c>
      <c r="T193" s="6" t="s">
        <v>1421</v>
      </c>
      <c r="U193" s="6" t="s">
        <v>202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2929</v>
      </c>
      <c r="B194" s="3" t="s">
        <v>3260</v>
      </c>
      <c r="C194" s="9">
        <v>32897</v>
      </c>
      <c r="D194" s="9" t="s">
        <v>19</v>
      </c>
      <c r="E194" s="9" t="s">
        <v>35</v>
      </c>
      <c r="F194" s="9" t="s">
        <v>250</v>
      </c>
      <c r="G194" s="7" t="e">
        <f t="shared" ca="1" si="0"/>
        <v>#NAME?</v>
      </c>
      <c r="H194" s="8" t="s">
        <v>145</v>
      </c>
      <c r="I194" s="24" t="s">
        <v>146</v>
      </c>
      <c r="J194" s="9" t="str">
        <f t="shared" si="3"/>
        <v>Sim</v>
      </c>
      <c r="K194" s="232">
        <v>44278</v>
      </c>
      <c r="L194" s="7"/>
      <c r="M194" s="6" t="s">
        <v>333</v>
      </c>
      <c r="N194" s="10">
        <v>0.02</v>
      </c>
      <c r="O194" s="9" t="s">
        <v>39</v>
      </c>
      <c r="P194" s="234">
        <v>0.2</v>
      </c>
      <c r="Q194" s="108" t="s">
        <v>3177</v>
      </c>
      <c r="R194" s="108"/>
      <c r="S194" s="7" t="s">
        <v>127</v>
      </c>
      <c r="T194" s="6" t="s">
        <v>1428</v>
      </c>
      <c r="U194" s="6" t="s">
        <v>202</v>
      </c>
      <c r="V194" s="24" t="e">
        <f t="shared" ca="1" si="2"/>
        <v>#NAME?</v>
      </c>
      <c r="W194" s="24"/>
      <c r="X194" s="24"/>
      <c r="Y194" s="6" t="s">
        <v>240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2929</v>
      </c>
      <c r="B195" s="3" t="s">
        <v>3260</v>
      </c>
      <c r="C195" s="9">
        <v>39137</v>
      </c>
      <c r="D195" s="9" t="s">
        <v>19</v>
      </c>
      <c r="E195" s="9" t="s">
        <v>35</v>
      </c>
      <c r="F195" s="9" t="s">
        <v>250</v>
      </c>
      <c r="G195" s="7" t="e">
        <f t="shared" ca="1" si="0"/>
        <v>#NAME?</v>
      </c>
      <c r="H195" s="8" t="s">
        <v>145</v>
      </c>
      <c r="I195" s="24" t="s">
        <v>146</v>
      </c>
      <c r="J195" s="9" t="str">
        <f t="shared" si="3"/>
        <v>Sim</v>
      </c>
      <c r="K195" s="232">
        <v>44278</v>
      </c>
      <c r="L195" s="6"/>
      <c r="M195" s="6" t="s">
        <v>242</v>
      </c>
      <c r="N195" s="233">
        <v>2.5000000000000001E-2</v>
      </c>
      <c r="O195" s="9" t="s">
        <v>167</v>
      </c>
      <c r="P195" s="234">
        <v>0.2</v>
      </c>
      <c r="Q195" s="108" t="s">
        <v>3177</v>
      </c>
      <c r="R195" s="108"/>
      <c r="S195" s="7" t="s">
        <v>127</v>
      </c>
      <c r="T195" s="6" t="s">
        <v>1428</v>
      </c>
      <c r="U195" s="6" t="s">
        <v>202</v>
      </c>
      <c r="V195" s="24" t="e">
        <f t="shared" ca="1" si="2"/>
        <v>#NAME?</v>
      </c>
      <c r="W195" s="24"/>
      <c r="X195" s="24"/>
      <c r="Y195" s="6" t="s">
        <v>240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2929</v>
      </c>
      <c r="B196" s="37" t="s">
        <v>3261</v>
      </c>
      <c r="C196" s="9">
        <v>320310</v>
      </c>
      <c r="D196" s="9" t="s">
        <v>2931</v>
      </c>
      <c r="E196" s="9" t="s">
        <v>20</v>
      </c>
      <c r="F196" s="6" t="s">
        <v>2938</v>
      </c>
      <c r="G196" s="7" t="e">
        <f t="shared" ca="1" si="0"/>
        <v>#NAME?</v>
      </c>
      <c r="H196" s="8" t="s">
        <v>125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185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127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2940</v>
      </c>
      <c r="BH196" s="110">
        <v>0</v>
      </c>
      <c r="BI196" s="110" t="s">
        <v>2940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2929</v>
      </c>
      <c r="B197" s="37" t="s">
        <v>3262</v>
      </c>
      <c r="C197" s="9">
        <v>35930</v>
      </c>
      <c r="D197" s="9" t="s">
        <v>2931</v>
      </c>
      <c r="E197" s="9" t="s">
        <v>20</v>
      </c>
      <c r="F197" s="6" t="s">
        <v>2938</v>
      </c>
      <c r="G197" s="7" t="e">
        <f t="shared" ca="1" si="0"/>
        <v>#NAME?</v>
      </c>
      <c r="H197" s="8" t="s">
        <v>125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185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127</v>
      </c>
      <c r="T197" s="6" t="s">
        <v>3263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2940</v>
      </c>
      <c r="BH197" s="110">
        <v>0</v>
      </c>
      <c r="BI197" s="110" t="s">
        <v>2940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2929</v>
      </c>
      <c r="B198" s="3" t="s">
        <v>3264</v>
      </c>
      <c r="C198" s="9">
        <v>32362</v>
      </c>
      <c r="D198" s="9" t="s">
        <v>19</v>
      </c>
      <c r="E198" s="9" t="s">
        <v>35</v>
      </c>
      <c r="F198" s="9" t="s">
        <v>199</v>
      </c>
      <c r="G198" s="7" t="e">
        <f t="shared" ca="1" si="0"/>
        <v>#NAME?</v>
      </c>
      <c r="H198" s="8" t="s">
        <v>145</v>
      </c>
      <c r="I198" s="24" t="s">
        <v>146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127</v>
      </c>
      <c r="T198" s="6" t="s">
        <v>3265</v>
      </c>
      <c r="U198" s="6" t="s">
        <v>202</v>
      </c>
      <c r="V198" s="24" t="e">
        <f t="shared" ca="1" si="2"/>
        <v>#NAME?</v>
      </c>
      <c r="W198" s="24"/>
      <c r="X198" s="24"/>
      <c r="Y198" s="6" t="s">
        <v>240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2929</v>
      </c>
      <c r="B199" s="106" t="s">
        <v>3266</v>
      </c>
      <c r="C199" s="9">
        <v>32254</v>
      </c>
      <c r="D199" s="9" t="s">
        <v>19</v>
      </c>
      <c r="E199" s="9" t="s">
        <v>35</v>
      </c>
      <c r="F199" s="9" t="s">
        <v>199</v>
      </c>
      <c r="G199" s="7" t="e">
        <f t="shared" ca="1" si="0"/>
        <v>#NAME?</v>
      </c>
      <c r="H199" s="8" t="s">
        <v>145</v>
      </c>
      <c r="I199" s="24" t="s">
        <v>146</v>
      </c>
      <c r="J199" s="9" t="str">
        <f t="shared" si="3"/>
        <v>Não</v>
      </c>
      <c r="K199" s="232">
        <v>44263</v>
      </c>
      <c r="L199" s="6"/>
      <c r="M199" s="6" t="s">
        <v>185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127</v>
      </c>
      <c r="T199" s="9" t="s">
        <v>3267</v>
      </c>
      <c r="U199" s="6" t="s">
        <v>202</v>
      </c>
      <c r="V199" s="24" t="e">
        <f t="shared" ca="1" si="2"/>
        <v>#NAME?</v>
      </c>
      <c r="W199" s="24"/>
      <c r="X199" s="24"/>
      <c r="Y199" s="6" t="s">
        <v>129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2929</v>
      </c>
      <c r="B200" s="36" t="s">
        <v>3268</v>
      </c>
      <c r="C200" s="9">
        <v>577499</v>
      </c>
      <c r="D200" s="9" t="s">
        <v>2931</v>
      </c>
      <c r="E200" s="9" t="s">
        <v>20</v>
      </c>
      <c r="F200" s="9" t="s">
        <v>2932</v>
      </c>
      <c r="G200" s="7" t="e">
        <f t="shared" ca="1" si="0"/>
        <v>#NAME?</v>
      </c>
      <c r="H200" s="8" t="s">
        <v>145</v>
      </c>
      <c r="I200" s="24" t="s">
        <v>146</v>
      </c>
      <c r="J200" s="9" t="str">
        <f t="shared" si="3"/>
        <v>Sim</v>
      </c>
      <c r="K200" s="232">
        <v>43879</v>
      </c>
      <c r="L200" s="6"/>
      <c r="M200" s="6" t="s">
        <v>185</v>
      </c>
      <c r="N200" s="10">
        <v>1.4999999999999999E-2</v>
      </c>
      <c r="O200" s="9" t="s">
        <v>25</v>
      </c>
      <c r="P200" s="234">
        <v>0</v>
      </c>
      <c r="Q200" s="108" t="s">
        <v>3177</v>
      </c>
      <c r="R200" s="45"/>
      <c r="S200" s="7" t="s">
        <v>127</v>
      </c>
      <c r="T200" s="9" t="s">
        <v>1462</v>
      </c>
      <c r="U200" s="6" t="s">
        <v>20</v>
      </c>
      <c r="V200" s="24" t="e">
        <f t="shared" ca="1" si="2"/>
        <v>#NAME?</v>
      </c>
      <c r="W200" s="24"/>
      <c r="X200" s="24"/>
      <c r="Y200" s="6" t="s">
        <v>240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2929</v>
      </c>
      <c r="B201" s="3" t="s">
        <v>3269</v>
      </c>
      <c r="C201" s="9">
        <v>32702</v>
      </c>
      <c r="D201" s="9" t="s">
        <v>19</v>
      </c>
      <c r="E201" s="9" t="s">
        <v>20</v>
      </c>
      <c r="F201" s="9" t="s">
        <v>195</v>
      </c>
      <c r="G201" s="7" t="e">
        <f t="shared" ca="1" si="0"/>
        <v>#NAME?</v>
      </c>
      <c r="H201" s="8" t="s">
        <v>145</v>
      </c>
      <c r="I201" s="24" t="s">
        <v>146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3270</v>
      </c>
      <c r="R201" s="108" t="s">
        <v>3271</v>
      </c>
      <c r="S201" s="7" t="s">
        <v>127</v>
      </c>
      <c r="T201" s="6" t="s">
        <v>3272</v>
      </c>
      <c r="U201" s="6" t="s">
        <v>20</v>
      </c>
      <c r="V201" s="24" t="e">
        <f t="shared" ca="1" si="2"/>
        <v>#NAME?</v>
      </c>
      <c r="W201" s="24"/>
      <c r="X201" s="24"/>
      <c r="Y201" s="6" t="s">
        <v>240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2929</v>
      </c>
      <c r="B202" s="3" t="s">
        <v>3273</v>
      </c>
      <c r="C202" s="9">
        <v>435597</v>
      </c>
      <c r="D202" s="9" t="s">
        <v>2931</v>
      </c>
      <c r="E202" s="9" t="s">
        <v>20</v>
      </c>
      <c r="F202" s="9" t="s">
        <v>2932</v>
      </c>
      <c r="G202" s="7" t="e">
        <f t="shared" ca="1" si="0"/>
        <v>#NAME?</v>
      </c>
      <c r="H202" s="8" t="s">
        <v>145</v>
      </c>
      <c r="I202" s="24" t="s">
        <v>146</v>
      </c>
      <c r="J202" s="9" t="str">
        <f t="shared" si="3"/>
        <v>Sim</v>
      </c>
      <c r="K202" s="232">
        <v>43711</v>
      </c>
      <c r="L202" s="6"/>
      <c r="M202" s="6" t="s">
        <v>185</v>
      </c>
      <c r="N202" s="233">
        <v>0.01</v>
      </c>
      <c r="O202" s="9" t="s">
        <v>39</v>
      </c>
      <c r="P202" s="234">
        <v>0.1</v>
      </c>
      <c r="Q202" s="108" t="s">
        <v>2955</v>
      </c>
      <c r="R202" s="108"/>
      <c r="S202" s="7" t="s">
        <v>127</v>
      </c>
      <c r="T202" s="6" t="s">
        <v>3274</v>
      </c>
      <c r="U202" s="6" t="s">
        <v>20</v>
      </c>
      <c r="V202" s="24" t="e">
        <f t="shared" ca="1" si="2"/>
        <v>#NAME?</v>
      </c>
      <c r="W202" s="24"/>
      <c r="X202" s="24"/>
      <c r="Y202" s="6" t="s">
        <v>240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2929</v>
      </c>
      <c r="B203" s="3" t="s">
        <v>3275</v>
      </c>
      <c r="C203" s="9">
        <v>74950</v>
      </c>
      <c r="D203" s="9" t="s">
        <v>19</v>
      </c>
      <c r="E203" s="9" t="s">
        <v>35</v>
      </c>
      <c r="F203" s="9" t="s">
        <v>250</v>
      </c>
      <c r="G203" s="7" t="e">
        <f t="shared" ca="1" si="0"/>
        <v>#NAME?</v>
      </c>
      <c r="H203" s="8" t="s">
        <v>125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3276</v>
      </c>
      <c r="S203" s="7" t="s">
        <v>127</v>
      </c>
      <c r="T203" s="6" t="s">
        <v>3277</v>
      </c>
      <c r="U203" s="6" t="s">
        <v>202</v>
      </c>
      <c r="V203" s="24" t="e">
        <f t="shared" ca="1" si="2"/>
        <v>#NAME?</v>
      </c>
      <c r="W203" s="24"/>
      <c r="X203" s="24"/>
      <c r="Y203" s="6" t="s">
        <v>240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2929</v>
      </c>
      <c r="B204" s="37" t="s">
        <v>3278</v>
      </c>
      <c r="C204" s="9">
        <v>446205</v>
      </c>
      <c r="D204" s="9" t="s">
        <v>2931</v>
      </c>
      <c r="E204" s="9" t="s">
        <v>20</v>
      </c>
      <c r="F204" s="6" t="s">
        <v>2932</v>
      </c>
      <c r="G204" s="7" t="e">
        <f t="shared" ca="1" si="0"/>
        <v>#NAME?</v>
      </c>
      <c r="H204" s="8" t="s">
        <v>125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127</v>
      </c>
      <c r="T204" s="6" t="s">
        <v>3279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2940</v>
      </c>
      <c r="BH204" s="110">
        <v>0</v>
      </c>
      <c r="BI204" s="110" t="s">
        <v>2940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2929</v>
      </c>
      <c r="B205" s="37" t="s">
        <v>3280</v>
      </c>
      <c r="C205" s="9">
        <v>440076</v>
      </c>
      <c r="D205" s="9" t="s">
        <v>19</v>
      </c>
      <c r="E205" s="9" t="s">
        <v>35</v>
      </c>
      <c r="F205" s="9" t="s">
        <v>250</v>
      </c>
      <c r="G205" s="7" t="e">
        <f t="shared" ca="1" si="0"/>
        <v>#NAME?</v>
      </c>
      <c r="H205" s="8" t="s">
        <v>125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127</v>
      </c>
      <c r="T205" s="6" t="s">
        <v>3281</v>
      </c>
      <c r="U205" s="6" t="s">
        <v>202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2929</v>
      </c>
      <c r="B206" s="3" t="s">
        <v>3282</v>
      </c>
      <c r="C206" s="9">
        <v>34985</v>
      </c>
      <c r="D206" s="9" t="s">
        <v>19</v>
      </c>
      <c r="E206" s="9" t="s">
        <v>35</v>
      </c>
      <c r="F206" s="9" t="s">
        <v>250</v>
      </c>
      <c r="G206" s="7" t="e">
        <f t="shared" ca="1" si="0"/>
        <v>#NAME?</v>
      </c>
      <c r="H206" s="8" t="s">
        <v>145</v>
      </c>
      <c r="I206" s="24" t="s">
        <v>146</v>
      </c>
      <c r="J206" s="9" t="str">
        <f t="shared" si="3"/>
        <v>Não</v>
      </c>
      <c r="K206" s="232">
        <v>44280</v>
      </c>
      <c r="L206" s="6"/>
      <c r="M206" s="6" t="s">
        <v>185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3283</v>
      </c>
      <c r="S206" s="7" t="s">
        <v>127</v>
      </c>
      <c r="T206" s="6" t="s">
        <v>1503</v>
      </c>
      <c r="U206" s="6" t="s">
        <v>202</v>
      </c>
      <c r="V206" s="24" t="e">
        <f t="shared" ca="1" si="2"/>
        <v>#NAME?</v>
      </c>
      <c r="W206" s="24"/>
      <c r="X206" s="24"/>
      <c r="Y206" s="6" t="s">
        <v>240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2929</v>
      </c>
      <c r="B207" s="37" t="s">
        <v>3284</v>
      </c>
      <c r="C207" s="9">
        <v>317557</v>
      </c>
      <c r="D207" s="9" t="s">
        <v>2997</v>
      </c>
      <c r="E207" s="9" t="s">
        <v>20</v>
      </c>
      <c r="F207" s="6" t="s">
        <v>2997</v>
      </c>
      <c r="G207" s="7" t="e">
        <f t="shared" ca="1" si="0"/>
        <v>#NAME?</v>
      </c>
      <c r="H207" s="8" t="s">
        <v>125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242</v>
      </c>
      <c r="N207" s="10">
        <v>0.02</v>
      </c>
      <c r="O207" s="9" t="s">
        <v>167</v>
      </c>
      <c r="P207" s="234">
        <v>0.2</v>
      </c>
      <c r="Q207" s="108"/>
      <c r="R207" s="108"/>
      <c r="S207" s="7" t="s">
        <v>127</v>
      </c>
      <c r="T207" s="6" t="s">
        <v>3285</v>
      </c>
      <c r="U207" s="6" t="s">
        <v>20</v>
      </c>
      <c r="V207" s="24" t="e">
        <f t="shared" ca="1" si="2"/>
        <v>#NAME?</v>
      </c>
      <c r="W207" s="24"/>
      <c r="X207" s="24"/>
      <c r="Y207" s="6" t="s">
        <v>240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2940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2929</v>
      </c>
      <c r="B208" s="3" t="s">
        <v>3286</v>
      </c>
      <c r="C208" s="9">
        <v>575947</v>
      </c>
      <c r="D208" s="9" t="s">
        <v>19</v>
      </c>
      <c r="E208" s="9" t="s">
        <v>35</v>
      </c>
      <c r="F208" s="6" t="s">
        <v>250</v>
      </c>
      <c r="G208" s="7" t="e">
        <f t="shared" ca="1" si="0"/>
        <v>#NAME?</v>
      </c>
      <c r="H208" s="8" t="s">
        <v>125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333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127</v>
      </c>
      <c r="T208" s="6" t="s">
        <v>3287</v>
      </c>
      <c r="U208" s="6" t="s">
        <v>202</v>
      </c>
      <c r="V208" s="24" t="e">
        <f t="shared" ca="1" si="2"/>
        <v>#NAME?</v>
      </c>
      <c r="W208" s="24"/>
      <c r="X208" s="24"/>
      <c r="Y208" s="6" t="s">
        <v>240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2940</v>
      </c>
      <c r="BH208" s="110">
        <v>0</v>
      </c>
      <c r="BI208" s="110" t="s">
        <v>2940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2929</v>
      </c>
      <c r="B209" s="36" t="s">
        <v>3288</v>
      </c>
      <c r="C209" s="9">
        <v>85867</v>
      </c>
      <c r="D209" s="9" t="s">
        <v>2997</v>
      </c>
      <c r="E209" s="9" t="s">
        <v>20</v>
      </c>
      <c r="F209" s="9" t="s">
        <v>2997</v>
      </c>
      <c r="G209" s="7" t="e">
        <f t="shared" ca="1" si="0"/>
        <v>#NAME?</v>
      </c>
      <c r="H209" s="8" t="s">
        <v>134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242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127</v>
      </c>
      <c r="T209" s="9" t="s">
        <v>3289</v>
      </c>
      <c r="U209" s="9" t="s">
        <v>20</v>
      </c>
      <c r="V209" s="24" t="e">
        <f t="shared" ca="1" si="2"/>
        <v>#NAME?</v>
      </c>
      <c r="W209" s="24"/>
      <c r="X209" s="24"/>
      <c r="Y209" s="6" t="s">
        <v>240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2929</v>
      </c>
      <c r="B210" s="3" t="s">
        <v>1514</v>
      </c>
      <c r="C210" s="9">
        <v>33722</v>
      </c>
      <c r="D210" s="9" t="s">
        <v>19</v>
      </c>
      <c r="E210" s="9" t="s">
        <v>35</v>
      </c>
      <c r="F210" s="9" t="s">
        <v>199</v>
      </c>
      <c r="G210" s="7" t="e">
        <f t="shared" ca="1" si="0"/>
        <v>#NAME?</v>
      </c>
      <c r="H210" s="8" t="s">
        <v>145</v>
      </c>
      <c r="I210" s="24" t="s">
        <v>146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3290</v>
      </c>
      <c r="S210" s="7" t="s">
        <v>127</v>
      </c>
      <c r="T210" s="6" t="s">
        <v>1517</v>
      </c>
      <c r="U210" s="6" t="s">
        <v>202</v>
      </c>
      <c r="V210" s="24" t="e">
        <f t="shared" ca="1" si="2"/>
        <v>#NAME?</v>
      </c>
      <c r="W210" s="24"/>
      <c r="X210" s="24"/>
      <c r="Y210" s="6" t="s">
        <v>240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2929</v>
      </c>
      <c r="B211" s="106" t="s">
        <v>1518</v>
      </c>
      <c r="C211" s="9">
        <v>388028</v>
      </c>
      <c r="D211" s="9" t="s">
        <v>19</v>
      </c>
      <c r="E211" s="9" t="s">
        <v>20</v>
      </c>
      <c r="F211" s="7" t="s">
        <v>437</v>
      </c>
      <c r="G211" s="7" t="e">
        <f t="shared" ca="1" si="0"/>
        <v>#NAME?</v>
      </c>
      <c r="H211" s="8" t="s">
        <v>145</v>
      </c>
      <c r="I211" s="24" t="s">
        <v>146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127</v>
      </c>
      <c r="T211" s="9" t="s">
        <v>1520</v>
      </c>
      <c r="U211" s="6" t="s">
        <v>48</v>
      </c>
      <c r="V211" s="24" t="e">
        <f t="shared" ca="1" si="2"/>
        <v>#NAME?</v>
      </c>
      <c r="W211" s="24"/>
      <c r="X211" s="24"/>
      <c r="Y211" s="6" t="s">
        <v>240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2929</v>
      </c>
      <c r="B212" s="106" t="s">
        <v>3291</v>
      </c>
      <c r="C212" s="9">
        <v>388035</v>
      </c>
      <c r="D212" s="9" t="s">
        <v>19</v>
      </c>
      <c r="E212" s="9" t="s">
        <v>20</v>
      </c>
      <c r="F212" s="7" t="s">
        <v>437</v>
      </c>
      <c r="G212" s="7" t="e">
        <f t="shared" ca="1" si="0"/>
        <v>#NAME?</v>
      </c>
      <c r="H212" s="8" t="s">
        <v>145</v>
      </c>
      <c r="I212" s="24" t="s">
        <v>146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171</v>
      </c>
      <c r="T212" s="9" t="s">
        <v>1390</v>
      </c>
      <c r="U212" s="6" t="s">
        <v>48</v>
      </c>
      <c r="V212" s="24" t="e">
        <f t="shared" ca="1" si="2"/>
        <v>#NAME?</v>
      </c>
      <c r="W212" s="24"/>
      <c r="X212" s="24"/>
      <c r="Y212" s="6" t="s">
        <v>240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2929</v>
      </c>
      <c r="B213" s="3" t="s">
        <v>1528</v>
      </c>
      <c r="C213" s="9">
        <v>330314</v>
      </c>
      <c r="D213" s="9" t="s">
        <v>19</v>
      </c>
      <c r="E213" s="9" t="s">
        <v>35</v>
      </c>
      <c r="F213" s="9" t="s">
        <v>199</v>
      </c>
      <c r="G213" s="7" t="e">
        <f t="shared" ca="1" si="0"/>
        <v>#NAME?</v>
      </c>
      <c r="H213" s="8" t="s">
        <v>145</v>
      </c>
      <c r="I213" s="24" t="s">
        <v>146</v>
      </c>
      <c r="J213" s="9" t="str">
        <f t="shared" si="3"/>
        <v>Sim</v>
      </c>
      <c r="K213" s="232">
        <v>44263</v>
      </c>
      <c r="L213" s="6"/>
      <c r="M213" s="6" t="s">
        <v>242</v>
      </c>
      <c r="N213" s="10">
        <v>2.5000000000000001E-2</v>
      </c>
      <c r="O213" s="9" t="s">
        <v>167</v>
      </c>
      <c r="P213" s="234">
        <v>0.2</v>
      </c>
      <c r="Q213" s="108" t="s">
        <v>3292</v>
      </c>
      <c r="R213" s="108" t="s">
        <v>3214</v>
      </c>
      <c r="S213" s="7" t="s">
        <v>127</v>
      </c>
      <c r="T213" s="6" t="s">
        <v>1530</v>
      </c>
      <c r="U213" s="6" t="s">
        <v>202</v>
      </c>
      <c r="V213" s="24" t="e">
        <f t="shared" ca="1" si="2"/>
        <v>#NAME?</v>
      </c>
      <c r="W213" s="24"/>
      <c r="X213" s="24"/>
      <c r="Y213" s="6" t="s">
        <v>129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2929</v>
      </c>
      <c r="B214" s="3" t="s">
        <v>3293</v>
      </c>
      <c r="C214" s="9">
        <v>285004</v>
      </c>
      <c r="D214" s="9" t="s">
        <v>19</v>
      </c>
      <c r="E214" s="9" t="s">
        <v>35</v>
      </c>
      <c r="F214" s="9" t="s">
        <v>199</v>
      </c>
      <c r="G214" s="7" t="e">
        <f t="shared" ca="1" si="0"/>
        <v>#NAME?</v>
      </c>
      <c r="H214" s="8" t="s">
        <v>145</v>
      </c>
      <c r="I214" s="24" t="s">
        <v>146</v>
      </c>
      <c r="J214" s="9" t="str">
        <f t="shared" si="3"/>
        <v>Não</v>
      </c>
      <c r="K214" s="232">
        <v>44319</v>
      </c>
      <c r="L214" s="6"/>
      <c r="M214" s="6" t="s">
        <v>185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3294</v>
      </c>
      <c r="S214" s="7" t="s">
        <v>127</v>
      </c>
      <c r="T214" s="6" t="s">
        <v>3295</v>
      </c>
      <c r="U214" s="6" t="s">
        <v>202</v>
      </c>
      <c r="V214" s="24" t="e">
        <f t="shared" ca="1" si="2"/>
        <v>#NAME?</v>
      </c>
      <c r="W214" s="24"/>
      <c r="X214" s="24"/>
      <c r="Y214" s="6" t="s">
        <v>240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2929</v>
      </c>
      <c r="B215" s="37" t="s">
        <v>3296</v>
      </c>
      <c r="C215" s="9">
        <v>338374</v>
      </c>
      <c r="D215" s="9" t="s">
        <v>2931</v>
      </c>
      <c r="E215" s="9" t="s">
        <v>20</v>
      </c>
      <c r="F215" s="6" t="s">
        <v>2938</v>
      </c>
      <c r="G215" s="7" t="e">
        <f t="shared" ca="1" si="0"/>
        <v>#NAME?</v>
      </c>
      <c r="H215" s="8" t="s">
        <v>125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185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127</v>
      </c>
      <c r="T215" s="6" t="s">
        <v>3297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2940</v>
      </c>
      <c r="BH215" s="110">
        <v>0</v>
      </c>
      <c r="BI215" s="110" t="s">
        <v>2940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2929</v>
      </c>
      <c r="B216" s="3" t="s">
        <v>3298</v>
      </c>
      <c r="C216" s="9">
        <v>437539</v>
      </c>
      <c r="D216" s="9" t="s">
        <v>2931</v>
      </c>
      <c r="E216" s="9" t="s">
        <v>20</v>
      </c>
      <c r="F216" s="6" t="s">
        <v>2932</v>
      </c>
      <c r="G216" s="7" t="e">
        <f t="shared" ca="1" si="0"/>
        <v>#NAME?</v>
      </c>
      <c r="H216" s="8" t="s">
        <v>125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185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127</v>
      </c>
      <c r="T216" s="6" t="s">
        <v>3299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2940</v>
      </c>
      <c r="BH216" s="110">
        <v>0</v>
      </c>
      <c r="BI216" s="110" t="s">
        <v>2940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2929</v>
      </c>
      <c r="B217" s="3" t="s">
        <v>3300</v>
      </c>
      <c r="C217" s="9">
        <v>629394</v>
      </c>
      <c r="D217" s="9" t="s">
        <v>19</v>
      </c>
      <c r="E217" s="9" t="s">
        <v>35</v>
      </c>
      <c r="F217" s="6" t="s">
        <v>250</v>
      </c>
      <c r="G217" s="7" t="e">
        <f t="shared" ca="1" si="0"/>
        <v>#NAME?</v>
      </c>
      <c r="H217" s="8" t="s">
        <v>125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185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127</v>
      </c>
      <c r="T217" s="6" t="s">
        <v>3301</v>
      </c>
      <c r="U217" s="6" t="s">
        <v>202</v>
      </c>
      <c r="V217" s="24" t="e">
        <f t="shared" ca="1" si="2"/>
        <v>#NAME?</v>
      </c>
      <c r="W217" s="24"/>
      <c r="X217" s="24"/>
      <c r="Y217" s="6" t="s">
        <v>240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2940</v>
      </c>
      <c r="BH217" s="110">
        <v>0</v>
      </c>
      <c r="BI217" s="110" t="s">
        <v>2940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2929</v>
      </c>
      <c r="B218" s="3" t="s">
        <v>1571</v>
      </c>
      <c r="C218" s="9">
        <v>32879</v>
      </c>
      <c r="D218" s="9" t="s">
        <v>19</v>
      </c>
      <c r="E218" s="9" t="s">
        <v>35</v>
      </c>
      <c r="F218" s="9" t="s">
        <v>199</v>
      </c>
      <c r="G218" s="7" t="e">
        <f t="shared" ca="1" si="0"/>
        <v>#NAME?</v>
      </c>
      <c r="H218" s="8" t="s">
        <v>145</v>
      </c>
      <c r="I218" s="24" t="s">
        <v>146</v>
      </c>
      <c r="J218" s="9" t="str">
        <f t="shared" si="3"/>
        <v>Não</v>
      </c>
      <c r="K218" s="232">
        <v>44273</v>
      </c>
      <c r="L218" s="6"/>
      <c r="M218" s="6" t="s">
        <v>185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127</v>
      </c>
      <c r="T218" s="6" t="s">
        <v>1573</v>
      </c>
      <c r="U218" s="6" t="s">
        <v>202</v>
      </c>
      <c r="V218" s="24" t="e">
        <f t="shared" ca="1" si="2"/>
        <v>#NAME?</v>
      </c>
      <c r="W218" s="24"/>
      <c r="X218" s="24"/>
      <c r="Y218" s="6" t="s">
        <v>240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2929</v>
      </c>
      <c r="B219" s="106" t="s">
        <v>3302</v>
      </c>
      <c r="C219" s="9">
        <v>33154</v>
      </c>
      <c r="D219" s="9" t="s">
        <v>19</v>
      </c>
      <c r="E219" s="9" t="s">
        <v>35</v>
      </c>
      <c r="F219" s="9" t="s">
        <v>2979</v>
      </c>
      <c r="G219" s="7" t="e">
        <f t="shared" ca="1" si="0"/>
        <v>#NAME?</v>
      </c>
      <c r="H219" s="8" t="s">
        <v>145</v>
      </c>
      <c r="I219" s="24" t="s">
        <v>146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127</v>
      </c>
      <c r="T219" s="9" t="s">
        <v>1588</v>
      </c>
      <c r="U219" s="6" t="s">
        <v>202</v>
      </c>
      <c r="V219" s="24" t="e">
        <f t="shared" ca="1" si="2"/>
        <v>#NAME?</v>
      </c>
      <c r="W219" s="24"/>
      <c r="X219" s="24"/>
      <c r="Y219" s="6" t="s">
        <v>240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2929</v>
      </c>
      <c r="B220" s="106" t="s">
        <v>3303</v>
      </c>
      <c r="C220" s="9">
        <v>34322</v>
      </c>
      <c r="D220" s="9" t="s">
        <v>19</v>
      </c>
      <c r="E220" s="9" t="s">
        <v>35</v>
      </c>
      <c r="F220" s="9" t="s">
        <v>199</v>
      </c>
      <c r="G220" s="7" t="e">
        <f t="shared" ca="1" si="0"/>
        <v>#NAME?</v>
      </c>
      <c r="H220" s="8" t="s">
        <v>145</v>
      </c>
      <c r="I220" s="24" t="s">
        <v>146</v>
      </c>
      <c r="J220" s="9" t="str">
        <f t="shared" si="3"/>
        <v>Não</v>
      </c>
      <c r="K220" s="232">
        <v>44263</v>
      </c>
      <c r="L220" s="6"/>
      <c r="M220" s="6" t="s">
        <v>333</v>
      </c>
      <c r="N220" s="233">
        <v>0.02</v>
      </c>
      <c r="O220" s="9" t="s">
        <v>39</v>
      </c>
      <c r="P220" s="234">
        <v>0.2</v>
      </c>
      <c r="Q220" s="45"/>
      <c r="R220" s="108" t="s">
        <v>3304</v>
      </c>
      <c r="S220" s="7" t="s">
        <v>127</v>
      </c>
      <c r="T220" s="9" t="s">
        <v>1603</v>
      </c>
      <c r="U220" s="6" t="s">
        <v>202</v>
      </c>
      <c r="V220" s="24" t="e">
        <f t="shared" ca="1" si="2"/>
        <v>#NAME?</v>
      </c>
      <c r="W220" s="24"/>
      <c r="X220" s="24"/>
      <c r="Y220" s="6" t="s">
        <v>240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2929</v>
      </c>
      <c r="B221" s="106" t="s">
        <v>3303</v>
      </c>
      <c r="C221" s="9">
        <v>34368</v>
      </c>
      <c r="D221" s="244" t="s">
        <v>19</v>
      </c>
      <c r="E221" s="244" t="s">
        <v>35</v>
      </c>
      <c r="F221" s="244" t="s">
        <v>199</v>
      </c>
      <c r="G221" s="7" t="e">
        <f t="shared" ca="1" si="0"/>
        <v>#NAME?</v>
      </c>
      <c r="H221" s="245" t="s">
        <v>145</v>
      </c>
      <c r="I221" s="24" t="s">
        <v>146</v>
      </c>
      <c r="J221" s="9" t="str">
        <f t="shared" si="3"/>
        <v>Não</v>
      </c>
      <c r="K221" s="246">
        <v>44390</v>
      </c>
      <c r="L221" s="247"/>
      <c r="M221" s="247" t="s">
        <v>185</v>
      </c>
      <c r="N221" s="251">
        <v>1.4999999999999999E-2</v>
      </c>
      <c r="O221" s="251"/>
      <c r="P221" s="249"/>
      <c r="Q221" s="45"/>
      <c r="R221" s="108" t="s">
        <v>3305</v>
      </c>
      <c r="S221" s="7" t="s">
        <v>127</v>
      </c>
      <c r="T221" s="9" t="s">
        <v>1603</v>
      </c>
      <c r="U221" s="6" t="s">
        <v>202</v>
      </c>
      <c r="V221" s="24" t="e">
        <f t="shared" ca="1" si="2"/>
        <v>#NAME?</v>
      </c>
      <c r="W221" s="24"/>
      <c r="X221" s="24"/>
      <c r="Y221" s="6" t="s">
        <v>240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2929</v>
      </c>
      <c r="B222" s="3" t="s">
        <v>1631</v>
      </c>
      <c r="C222" s="9">
        <v>649332</v>
      </c>
      <c r="D222" s="9" t="s">
        <v>19</v>
      </c>
      <c r="E222" s="9" t="s">
        <v>35</v>
      </c>
      <c r="F222" s="9" t="s">
        <v>250</v>
      </c>
      <c r="G222" s="7" t="e">
        <f t="shared" ca="1" si="0"/>
        <v>#NAME?</v>
      </c>
      <c r="H222" s="8" t="s">
        <v>145</v>
      </c>
      <c r="I222" s="24" t="s">
        <v>146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127</v>
      </c>
      <c r="T222" s="6" t="s">
        <v>1633</v>
      </c>
      <c r="U222" s="6" t="s">
        <v>41</v>
      </c>
      <c r="V222" s="24" t="e">
        <f t="shared" ca="1" si="2"/>
        <v>#NAME?</v>
      </c>
      <c r="W222" s="24"/>
      <c r="X222" s="24"/>
      <c r="Y222" s="6" t="s">
        <v>240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2929</v>
      </c>
      <c r="B223" s="3" t="s">
        <v>3306</v>
      </c>
      <c r="C223" s="9">
        <v>448575</v>
      </c>
      <c r="D223" s="9" t="s">
        <v>19</v>
      </c>
      <c r="E223" s="9" t="s">
        <v>35</v>
      </c>
      <c r="F223" s="9" t="s">
        <v>199</v>
      </c>
      <c r="G223" s="7" t="e">
        <f t="shared" ca="1" si="0"/>
        <v>#NAME?</v>
      </c>
      <c r="H223" s="8" t="s">
        <v>145</v>
      </c>
      <c r="I223" s="24" t="s">
        <v>146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3307</v>
      </c>
      <c r="S223" s="7" t="s">
        <v>127</v>
      </c>
      <c r="T223" s="6" t="s">
        <v>3308</v>
      </c>
      <c r="U223" s="6" t="s">
        <v>202</v>
      </c>
      <c r="V223" s="24" t="e">
        <f t="shared" ca="1" si="2"/>
        <v>#NAME?</v>
      </c>
      <c r="W223" s="24"/>
      <c r="X223" s="24"/>
      <c r="Y223" s="6" t="s">
        <v>240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2929</v>
      </c>
      <c r="B224" s="36" t="s">
        <v>3309</v>
      </c>
      <c r="C224" s="9">
        <v>580912</v>
      </c>
      <c r="D224" s="9" t="s">
        <v>2931</v>
      </c>
      <c r="E224" s="9" t="s">
        <v>20</v>
      </c>
      <c r="F224" s="9" t="s">
        <v>2932</v>
      </c>
      <c r="G224" s="7" t="e">
        <f t="shared" ca="1" si="0"/>
        <v>#NAME?</v>
      </c>
      <c r="H224" s="8" t="s">
        <v>145</v>
      </c>
      <c r="I224" s="24" t="s">
        <v>146</v>
      </c>
      <c r="J224" s="9" t="str">
        <f t="shared" si="3"/>
        <v>Não</v>
      </c>
      <c r="K224" s="232">
        <v>43620</v>
      </c>
      <c r="L224" s="6"/>
      <c r="M224" s="6" t="s">
        <v>185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3310</v>
      </c>
      <c r="S224" s="7" t="s">
        <v>127</v>
      </c>
      <c r="T224" s="9" t="s">
        <v>3311</v>
      </c>
      <c r="U224" s="6" t="s">
        <v>20</v>
      </c>
      <c r="V224" s="24" t="e">
        <f t="shared" ca="1" si="2"/>
        <v>#NAME?</v>
      </c>
      <c r="W224" s="24"/>
      <c r="X224" s="24"/>
      <c r="Y224" s="6" t="s">
        <v>240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2929</v>
      </c>
      <c r="B225" s="3" t="s">
        <v>1666</v>
      </c>
      <c r="C225" s="9">
        <v>382026</v>
      </c>
      <c r="D225" s="9" t="s">
        <v>19</v>
      </c>
      <c r="E225" s="9" t="s">
        <v>20</v>
      </c>
      <c r="F225" s="9" t="s">
        <v>3312</v>
      </c>
      <c r="G225" s="7" t="e">
        <f t="shared" ca="1" si="0"/>
        <v>#NAME?</v>
      </c>
      <c r="H225" s="8" t="s">
        <v>145</v>
      </c>
      <c r="I225" s="24" t="s">
        <v>146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127</v>
      </c>
      <c r="T225" s="6" t="s">
        <v>1669</v>
      </c>
      <c r="U225" s="6" t="s">
        <v>20</v>
      </c>
      <c r="V225" s="24" t="e">
        <f t="shared" ca="1" si="2"/>
        <v>#NAME?</v>
      </c>
      <c r="W225" s="24"/>
      <c r="X225" s="24"/>
      <c r="Y225" s="6" t="s">
        <v>240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2929</v>
      </c>
      <c r="B226" s="3" t="s">
        <v>3313</v>
      </c>
      <c r="C226" s="9">
        <v>806458</v>
      </c>
      <c r="D226" s="9" t="s">
        <v>19</v>
      </c>
      <c r="E226" s="9" t="s">
        <v>20</v>
      </c>
      <c r="F226" s="9" t="s">
        <v>2963</v>
      </c>
      <c r="G226" s="7" t="e">
        <f t="shared" ca="1" si="0"/>
        <v>#NAME?</v>
      </c>
      <c r="H226" s="8" t="s">
        <v>134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127</v>
      </c>
      <c r="T226" s="12" t="s">
        <v>3314</v>
      </c>
      <c r="U226" s="6" t="s">
        <v>878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2929</v>
      </c>
      <c r="B227" s="37" t="s">
        <v>3315</v>
      </c>
      <c r="C227" s="9">
        <v>425269</v>
      </c>
      <c r="D227" s="9" t="s">
        <v>19</v>
      </c>
      <c r="E227" s="9" t="s">
        <v>35</v>
      </c>
      <c r="F227" s="6" t="s">
        <v>250</v>
      </c>
      <c r="G227" s="7" t="e">
        <f t="shared" ca="1" si="0"/>
        <v>#NAME?</v>
      </c>
      <c r="H227" s="8" t="s">
        <v>125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127</v>
      </c>
      <c r="T227" s="6" t="s">
        <v>3316</v>
      </c>
      <c r="U227" s="6" t="s">
        <v>202</v>
      </c>
      <c r="V227" s="24" t="e">
        <f t="shared" ca="1" si="2"/>
        <v>#NAME?</v>
      </c>
      <c r="W227" s="24"/>
      <c r="X227" s="24"/>
      <c r="Y227" s="6" t="s">
        <v>240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2929</v>
      </c>
      <c r="B228" s="37" t="s">
        <v>3317</v>
      </c>
      <c r="C228" s="9">
        <v>584239</v>
      </c>
      <c r="D228" s="9" t="s">
        <v>2931</v>
      </c>
      <c r="E228" s="9" t="s">
        <v>20</v>
      </c>
      <c r="F228" s="6" t="s">
        <v>2938</v>
      </c>
      <c r="G228" s="7" t="e">
        <f t="shared" ca="1" si="0"/>
        <v>#NAME?</v>
      </c>
      <c r="H228" s="8" t="s">
        <v>125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171</v>
      </c>
      <c r="T228" s="6" t="s">
        <v>3318</v>
      </c>
      <c r="U228" s="6" t="s">
        <v>66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2940</v>
      </c>
      <c r="BH228" s="110">
        <v>0</v>
      </c>
      <c r="BI228" s="110" t="s">
        <v>2940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2929</v>
      </c>
      <c r="B229" s="37" t="s">
        <v>3319</v>
      </c>
      <c r="C229" s="9">
        <v>272112</v>
      </c>
      <c r="D229" s="9" t="s">
        <v>2931</v>
      </c>
      <c r="E229" s="9" t="s">
        <v>20</v>
      </c>
      <c r="F229" s="6" t="s">
        <v>2938</v>
      </c>
      <c r="G229" s="7" t="e">
        <f t="shared" ca="1" si="0"/>
        <v>#NAME?</v>
      </c>
      <c r="H229" s="8" t="s">
        <v>125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127</v>
      </c>
      <c r="T229" s="6" t="s">
        <v>3320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2940</v>
      </c>
      <c r="BH229" s="110">
        <v>0</v>
      </c>
      <c r="BI229" s="110" t="s">
        <v>2940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2929</v>
      </c>
      <c r="B230" s="36" t="s">
        <v>3321</v>
      </c>
      <c r="C230" s="9">
        <v>254177</v>
      </c>
      <c r="D230" s="9" t="s">
        <v>19</v>
      </c>
      <c r="E230" s="9" t="s">
        <v>20</v>
      </c>
      <c r="F230" s="9" t="s">
        <v>184</v>
      </c>
      <c r="G230" s="7" t="e">
        <f t="shared" ca="1" si="0"/>
        <v>#NAME?</v>
      </c>
      <c r="H230" s="8" t="s">
        <v>134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242</v>
      </c>
      <c r="N230" s="233">
        <v>0.02</v>
      </c>
      <c r="O230" s="9" t="s">
        <v>167</v>
      </c>
      <c r="P230" s="234">
        <v>0.2</v>
      </c>
      <c r="Q230" s="108"/>
      <c r="R230" s="108" t="s">
        <v>3322</v>
      </c>
      <c r="S230" s="7" t="s">
        <v>127</v>
      </c>
      <c r="T230" s="9" t="s">
        <v>3323</v>
      </c>
      <c r="U230" s="6" t="s">
        <v>20</v>
      </c>
      <c r="V230" s="24" t="e">
        <f t="shared" ca="1" si="2"/>
        <v>#NAME?</v>
      </c>
      <c r="W230" s="24"/>
      <c r="X230" s="24"/>
      <c r="Y230" s="6" t="s">
        <v>240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2929</v>
      </c>
      <c r="B231" s="37" t="s">
        <v>3321</v>
      </c>
      <c r="C231" s="9">
        <v>33371</v>
      </c>
      <c r="D231" s="9" t="s">
        <v>19</v>
      </c>
      <c r="E231" s="9" t="s">
        <v>20</v>
      </c>
      <c r="F231" s="9" t="s">
        <v>184</v>
      </c>
      <c r="G231" s="7" t="e">
        <f t="shared" ca="1" si="0"/>
        <v>#NAME?</v>
      </c>
      <c r="H231" s="8" t="s">
        <v>134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3324</v>
      </c>
      <c r="S231" s="7" t="s">
        <v>127</v>
      </c>
      <c r="T231" s="6" t="s">
        <v>3323</v>
      </c>
      <c r="U231" s="6" t="s">
        <v>20</v>
      </c>
      <c r="V231" s="24" t="e">
        <f t="shared" ca="1" si="2"/>
        <v>#NAME?</v>
      </c>
      <c r="W231" s="24"/>
      <c r="X231" s="24"/>
      <c r="Y231" s="6" t="s">
        <v>240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2929</v>
      </c>
      <c r="B232" s="36" t="s">
        <v>3325</v>
      </c>
      <c r="C232" s="9">
        <v>439655</v>
      </c>
      <c r="D232" s="9" t="s">
        <v>19</v>
      </c>
      <c r="E232" s="9" t="s">
        <v>20</v>
      </c>
      <c r="F232" s="9" t="s">
        <v>184</v>
      </c>
      <c r="G232" s="7" t="e">
        <f t="shared" ca="1" si="0"/>
        <v>#NAME?</v>
      </c>
      <c r="H232" s="8" t="s">
        <v>134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3326</v>
      </c>
      <c r="S232" s="7" t="s">
        <v>127</v>
      </c>
      <c r="T232" s="9" t="s">
        <v>3327</v>
      </c>
      <c r="U232" s="6" t="s">
        <v>20</v>
      </c>
      <c r="V232" s="24" t="e">
        <f t="shared" ca="1" si="2"/>
        <v>#NAME?</v>
      </c>
      <c r="W232" s="24"/>
      <c r="X232" s="24"/>
      <c r="Y232" s="6" t="s">
        <v>129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2929</v>
      </c>
      <c r="B233" s="36" t="s">
        <v>3328</v>
      </c>
      <c r="C233" s="9">
        <v>33344</v>
      </c>
      <c r="D233" s="9" t="s">
        <v>19</v>
      </c>
      <c r="E233" s="9" t="s">
        <v>35</v>
      </c>
      <c r="F233" s="9" t="s">
        <v>606</v>
      </c>
      <c r="G233" s="7" t="e">
        <f t="shared" ca="1" si="0"/>
        <v>#NAME?</v>
      </c>
      <c r="H233" s="8" t="s">
        <v>145</v>
      </c>
      <c r="I233" s="24" t="s">
        <v>146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127</v>
      </c>
      <c r="T233" s="9" t="s">
        <v>3329</v>
      </c>
      <c r="U233" s="6" t="s">
        <v>41</v>
      </c>
      <c r="V233" s="24" t="e">
        <f t="shared" ca="1" si="2"/>
        <v>#NAME?</v>
      </c>
      <c r="W233" s="24"/>
      <c r="X233" s="24"/>
      <c r="Y233" s="6" t="s">
        <v>240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2929</v>
      </c>
      <c r="B234" s="37" t="s">
        <v>3328</v>
      </c>
      <c r="C234" s="9">
        <v>560930</v>
      </c>
      <c r="D234" s="9" t="s">
        <v>19</v>
      </c>
      <c r="E234" s="9" t="s">
        <v>35</v>
      </c>
      <c r="F234" s="6" t="s">
        <v>606</v>
      </c>
      <c r="G234" s="7" t="e">
        <f t="shared" ca="1" si="0"/>
        <v>#NAME?</v>
      </c>
      <c r="H234" s="8" t="s">
        <v>125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127</v>
      </c>
      <c r="T234" s="6" t="s">
        <v>3329</v>
      </c>
      <c r="U234" s="6" t="s">
        <v>41</v>
      </c>
      <c r="V234" s="24" t="e">
        <f t="shared" ca="1" si="2"/>
        <v>#NAME?</v>
      </c>
      <c r="W234" s="24"/>
      <c r="X234" s="24"/>
      <c r="Y234" s="6" t="s">
        <v>240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2940</v>
      </c>
      <c r="BH234" s="110">
        <v>0</v>
      </c>
      <c r="BI234" s="110" t="s">
        <v>2940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2929</v>
      </c>
      <c r="B235" s="3" t="s">
        <v>1753</v>
      </c>
      <c r="C235" s="9">
        <v>47841</v>
      </c>
      <c r="D235" s="9" t="s">
        <v>19</v>
      </c>
      <c r="E235" s="9" t="s">
        <v>35</v>
      </c>
      <c r="F235" s="6" t="s">
        <v>199</v>
      </c>
      <c r="G235" s="7" t="e">
        <f t="shared" ca="1" si="0"/>
        <v>#NAME?</v>
      </c>
      <c r="H235" s="8" t="s">
        <v>145</v>
      </c>
      <c r="I235" s="24" t="s">
        <v>146</v>
      </c>
      <c r="J235" s="9" t="str">
        <f t="shared" si="3"/>
        <v>Não</v>
      </c>
      <c r="K235" s="25">
        <v>44357</v>
      </c>
      <c r="L235" s="6"/>
      <c r="M235" s="6" t="s">
        <v>185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127</v>
      </c>
      <c r="T235" s="6" t="s">
        <v>1755</v>
      </c>
      <c r="U235" s="6" t="s">
        <v>202</v>
      </c>
      <c r="V235" s="24" t="e">
        <f t="shared" ca="1" si="2"/>
        <v>#NAME?</v>
      </c>
      <c r="W235" s="24"/>
      <c r="X235" s="24"/>
      <c r="Y235" s="6" t="s">
        <v>240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2929</v>
      </c>
      <c r="B236" s="36" t="s">
        <v>3330</v>
      </c>
      <c r="C236" s="9">
        <v>451710</v>
      </c>
      <c r="D236" s="9" t="s">
        <v>2997</v>
      </c>
      <c r="E236" s="9" t="s">
        <v>20</v>
      </c>
      <c r="F236" s="9" t="s">
        <v>2997</v>
      </c>
      <c r="G236" s="7" t="e">
        <f t="shared" ca="1" si="0"/>
        <v>#NAME?</v>
      </c>
      <c r="H236" s="8" t="s">
        <v>134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242</v>
      </c>
      <c r="N236" s="10">
        <v>2.5000000000000001E-2</v>
      </c>
      <c r="O236" s="9" t="s">
        <v>167</v>
      </c>
      <c r="P236" s="234">
        <v>0.2</v>
      </c>
      <c r="Q236" s="108"/>
      <c r="R236" s="108"/>
      <c r="S236" s="7" t="s">
        <v>127</v>
      </c>
      <c r="T236" s="9" t="s">
        <v>3331</v>
      </c>
      <c r="U236" s="6" t="s">
        <v>20</v>
      </c>
      <c r="V236" s="24" t="e">
        <f t="shared" ca="1" si="2"/>
        <v>#NAME?</v>
      </c>
      <c r="W236" s="24"/>
      <c r="X236" s="24"/>
      <c r="Y236" s="6" t="s">
        <v>240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2929</v>
      </c>
      <c r="B237" s="3" t="s">
        <v>3332</v>
      </c>
      <c r="C237" s="9">
        <v>465277</v>
      </c>
      <c r="D237" s="9" t="s">
        <v>19</v>
      </c>
      <c r="E237" s="9" t="s">
        <v>35</v>
      </c>
      <c r="F237" s="6" t="s">
        <v>2979</v>
      </c>
      <c r="G237" s="7" t="e">
        <f t="shared" ca="1" si="0"/>
        <v>#NAME?</v>
      </c>
      <c r="H237" s="8" t="s">
        <v>125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127</v>
      </c>
      <c r="T237" s="6" t="s">
        <v>3333</v>
      </c>
      <c r="U237" s="6" t="s">
        <v>202</v>
      </c>
      <c r="V237" s="24" t="e">
        <f t="shared" ca="1" si="2"/>
        <v>#NAME?</v>
      </c>
      <c r="W237" s="24"/>
      <c r="X237" s="24"/>
      <c r="Y237" s="6" t="s">
        <v>240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2929</v>
      </c>
      <c r="B238" s="36" t="s">
        <v>3334</v>
      </c>
      <c r="C238" s="9">
        <v>356345</v>
      </c>
      <c r="D238" s="9" t="s">
        <v>19</v>
      </c>
      <c r="E238" s="9" t="s">
        <v>35</v>
      </c>
      <c r="F238" s="9" t="s">
        <v>199</v>
      </c>
      <c r="G238" s="7" t="e">
        <f t="shared" ca="1" si="0"/>
        <v>#NAME?</v>
      </c>
      <c r="H238" s="8" t="s">
        <v>145</v>
      </c>
      <c r="I238" s="24" t="s">
        <v>146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127</v>
      </c>
      <c r="T238" s="9" t="s">
        <v>1782</v>
      </c>
      <c r="U238" s="9" t="s">
        <v>202</v>
      </c>
      <c r="V238" s="24" t="e">
        <f t="shared" ca="1" si="2"/>
        <v>#NAME?</v>
      </c>
      <c r="W238" s="24"/>
      <c r="X238" s="24"/>
      <c r="Y238" s="6" t="s">
        <v>240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2929</v>
      </c>
      <c r="B239" s="36" t="s">
        <v>3335</v>
      </c>
      <c r="C239" s="9">
        <v>86469</v>
      </c>
      <c r="D239" s="9" t="s">
        <v>2997</v>
      </c>
      <c r="E239" s="9" t="s">
        <v>20</v>
      </c>
      <c r="F239" s="9" t="s">
        <v>2997</v>
      </c>
      <c r="G239" s="7" t="e">
        <f t="shared" ca="1" si="0"/>
        <v>#NAME?</v>
      </c>
      <c r="H239" s="8" t="s">
        <v>145</v>
      </c>
      <c r="I239" s="24" t="s">
        <v>146</v>
      </c>
      <c r="J239" s="9" t="str">
        <f t="shared" si="3"/>
        <v>Não</v>
      </c>
      <c r="K239" s="232">
        <v>43538</v>
      </c>
      <c r="L239" s="6"/>
      <c r="M239" s="6" t="s">
        <v>242</v>
      </c>
      <c r="N239" s="233">
        <v>0.01</v>
      </c>
      <c r="O239" s="9" t="s">
        <v>167</v>
      </c>
      <c r="P239" s="234">
        <v>0.2</v>
      </c>
      <c r="Q239" s="108"/>
      <c r="R239" s="108"/>
      <c r="S239" s="7" t="s">
        <v>127</v>
      </c>
      <c r="T239" s="9" t="s">
        <v>3336</v>
      </c>
      <c r="U239" s="9" t="s">
        <v>20</v>
      </c>
      <c r="V239" s="24" t="e">
        <f t="shared" ca="1" si="2"/>
        <v>#NAME?</v>
      </c>
      <c r="W239" s="24"/>
      <c r="X239" s="24"/>
      <c r="Y239" s="6" t="s">
        <v>240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2929</v>
      </c>
      <c r="B240" s="36" t="s">
        <v>3337</v>
      </c>
      <c r="C240" s="9">
        <v>338375</v>
      </c>
      <c r="D240" s="9" t="s">
        <v>2931</v>
      </c>
      <c r="E240" s="9" t="s">
        <v>20</v>
      </c>
      <c r="F240" s="9" t="s">
        <v>2932</v>
      </c>
      <c r="G240" s="7" t="e">
        <f t="shared" ca="1" si="0"/>
        <v>#NAME?</v>
      </c>
      <c r="H240" s="8" t="s">
        <v>145</v>
      </c>
      <c r="I240" s="24" t="s">
        <v>146</v>
      </c>
      <c r="J240" s="9" t="str">
        <f t="shared" si="3"/>
        <v>Não</v>
      </c>
      <c r="K240" s="232">
        <v>43601</v>
      </c>
      <c r="L240" s="6"/>
      <c r="M240" s="6" t="s">
        <v>242</v>
      </c>
      <c r="N240" s="233">
        <v>0.02</v>
      </c>
      <c r="O240" s="9" t="s">
        <v>167</v>
      </c>
      <c r="P240" s="234">
        <v>0.2</v>
      </c>
      <c r="Q240" s="108"/>
      <c r="R240" s="108"/>
      <c r="S240" s="7" t="s">
        <v>127</v>
      </c>
      <c r="T240" s="9" t="s">
        <v>3338</v>
      </c>
      <c r="U240" s="6" t="s">
        <v>20</v>
      </c>
      <c r="V240" s="24" t="e">
        <f t="shared" ca="1" si="2"/>
        <v>#NAME?</v>
      </c>
      <c r="W240" s="24"/>
      <c r="X240" s="24"/>
      <c r="Y240" s="6" t="s">
        <v>240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2929</v>
      </c>
      <c r="B241" s="3" t="s">
        <v>3339</v>
      </c>
      <c r="C241" s="9">
        <v>472226</v>
      </c>
      <c r="D241" s="9" t="s">
        <v>19</v>
      </c>
      <c r="E241" s="9" t="s">
        <v>35</v>
      </c>
      <c r="F241" s="6" t="s">
        <v>250</v>
      </c>
      <c r="G241" s="7" t="e">
        <f t="shared" ca="1" si="0"/>
        <v>#NAME?</v>
      </c>
      <c r="H241" s="8" t="s">
        <v>125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185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127</v>
      </c>
      <c r="T241" s="6" t="s">
        <v>3340</v>
      </c>
      <c r="U241" s="6" t="s">
        <v>202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2940</v>
      </c>
      <c r="BH241" s="110">
        <v>0</v>
      </c>
      <c r="BI241" s="110" t="s">
        <v>2940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2929</v>
      </c>
      <c r="B242" s="3" t="s">
        <v>3341</v>
      </c>
      <c r="C242" s="9">
        <v>441280</v>
      </c>
      <c r="D242" s="9" t="s">
        <v>19</v>
      </c>
      <c r="E242" s="9" t="s">
        <v>35</v>
      </c>
      <c r="F242" s="6" t="s">
        <v>2979</v>
      </c>
      <c r="G242" s="7" t="e">
        <f t="shared" ca="1" si="0"/>
        <v>#NAME?</v>
      </c>
      <c r="H242" s="8" t="s">
        <v>125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333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127</v>
      </c>
      <c r="T242" s="6" t="s">
        <v>3342</v>
      </c>
      <c r="U242" s="6" t="s">
        <v>202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2940</v>
      </c>
      <c r="BH242" s="110">
        <v>0</v>
      </c>
      <c r="BI242" s="110" t="s">
        <v>2940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2929</v>
      </c>
      <c r="B243" s="3" t="s">
        <v>3343</v>
      </c>
      <c r="C243" s="9">
        <v>355808</v>
      </c>
      <c r="D243" s="9" t="s">
        <v>19</v>
      </c>
      <c r="E243" s="9" t="s">
        <v>20</v>
      </c>
      <c r="F243" s="9" t="s">
        <v>3344</v>
      </c>
      <c r="G243" s="7" t="e">
        <f t="shared" ca="1" si="0"/>
        <v>#NAME?</v>
      </c>
      <c r="H243" s="8" t="s">
        <v>145</v>
      </c>
      <c r="I243" s="24" t="s">
        <v>146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127</v>
      </c>
      <c r="T243" s="6" t="s">
        <v>3345</v>
      </c>
      <c r="U243" s="6" t="s">
        <v>20</v>
      </c>
      <c r="V243" s="24" t="e">
        <f t="shared" ca="1" si="2"/>
        <v>#NAME?</v>
      </c>
      <c r="W243" s="24"/>
      <c r="X243" s="24"/>
      <c r="Y243" s="6" t="s">
        <v>240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2929</v>
      </c>
      <c r="B244" s="3" t="s">
        <v>3346</v>
      </c>
      <c r="C244" s="9">
        <v>466367</v>
      </c>
      <c r="D244" s="9" t="s">
        <v>19</v>
      </c>
      <c r="E244" s="9" t="s">
        <v>35</v>
      </c>
      <c r="F244" s="9" t="s">
        <v>199</v>
      </c>
      <c r="G244" s="7" t="e">
        <f t="shared" ca="1" si="0"/>
        <v>#NAME?</v>
      </c>
      <c r="H244" s="8" t="s">
        <v>145</v>
      </c>
      <c r="I244" s="24" t="s">
        <v>146</v>
      </c>
      <c r="J244" s="9" t="str">
        <f t="shared" si="3"/>
        <v>Não</v>
      </c>
      <c r="K244" s="232">
        <v>44323</v>
      </c>
      <c r="L244" s="7"/>
      <c r="M244" s="6" t="s">
        <v>245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171</v>
      </c>
      <c r="T244" s="6" t="s">
        <v>3347</v>
      </c>
      <c r="U244" s="6" t="s">
        <v>202</v>
      </c>
      <c r="V244" s="24" t="e">
        <f t="shared" ca="1" si="2"/>
        <v>#NAME?</v>
      </c>
      <c r="W244" s="24"/>
      <c r="X244" s="24"/>
      <c r="Y244" s="6" t="s">
        <v>240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2929</v>
      </c>
      <c r="B245" s="37" t="s">
        <v>3348</v>
      </c>
      <c r="C245" s="9">
        <v>78771</v>
      </c>
      <c r="D245" s="9" t="s">
        <v>2931</v>
      </c>
      <c r="E245" s="9" t="s">
        <v>20</v>
      </c>
      <c r="F245" s="6" t="s">
        <v>2938</v>
      </c>
      <c r="G245" s="7" t="e">
        <f t="shared" ca="1" si="0"/>
        <v>#NAME?</v>
      </c>
      <c r="H245" s="8" t="s">
        <v>125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127</v>
      </c>
      <c r="T245" s="6" t="s">
        <v>3349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2940</v>
      </c>
      <c r="BH245" s="110">
        <v>0</v>
      </c>
      <c r="BI245" s="110" t="s">
        <v>2940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2929</v>
      </c>
      <c r="B246" s="36" t="s">
        <v>3348</v>
      </c>
      <c r="C246" s="9">
        <v>298641</v>
      </c>
      <c r="D246" s="9" t="s">
        <v>2931</v>
      </c>
      <c r="E246" s="9" t="s">
        <v>20</v>
      </c>
      <c r="F246" s="9" t="s">
        <v>2938</v>
      </c>
      <c r="G246" s="7" t="e">
        <f t="shared" ca="1" si="0"/>
        <v>#NAME?</v>
      </c>
      <c r="H246" s="8" t="s">
        <v>125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185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127</v>
      </c>
      <c r="T246" s="9" t="s">
        <v>3349</v>
      </c>
      <c r="U246" s="6" t="s">
        <v>20</v>
      </c>
      <c r="V246" s="24" t="e">
        <f t="shared" ca="1" si="2"/>
        <v>#NAME?</v>
      </c>
      <c r="W246" s="24"/>
      <c r="X246" s="24"/>
      <c r="Y246" s="6" t="s">
        <v>240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2929</v>
      </c>
      <c r="B247" s="37" t="s">
        <v>3348</v>
      </c>
      <c r="C247" s="9">
        <v>298684</v>
      </c>
      <c r="D247" s="9" t="s">
        <v>2931</v>
      </c>
      <c r="E247" s="9" t="s">
        <v>20</v>
      </c>
      <c r="F247" s="6" t="s">
        <v>2938</v>
      </c>
      <c r="G247" s="7" t="e">
        <f t="shared" ca="1" si="0"/>
        <v>#NAME?</v>
      </c>
      <c r="H247" s="8" t="s">
        <v>125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242</v>
      </c>
      <c r="N247" s="10">
        <v>0.02</v>
      </c>
      <c r="O247" s="9" t="s">
        <v>167</v>
      </c>
      <c r="P247" s="234">
        <v>0.2</v>
      </c>
      <c r="Q247" s="108"/>
      <c r="R247" s="108"/>
      <c r="S247" s="7" t="s">
        <v>127</v>
      </c>
      <c r="T247" s="6" t="s">
        <v>3349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2940</v>
      </c>
      <c r="BH247" s="110">
        <v>0</v>
      </c>
      <c r="BI247" s="110" t="s">
        <v>2940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2929</v>
      </c>
      <c r="B248" s="3" t="s">
        <v>1853</v>
      </c>
      <c r="C248" s="9">
        <v>32191</v>
      </c>
      <c r="D248" s="9" t="s">
        <v>19</v>
      </c>
      <c r="E248" s="9" t="s">
        <v>35</v>
      </c>
      <c r="F248" s="9" t="s">
        <v>250</v>
      </c>
      <c r="G248" s="7" t="e">
        <f t="shared" ca="1" si="0"/>
        <v>#NAME?</v>
      </c>
      <c r="H248" s="8" t="s">
        <v>125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333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127</v>
      </c>
      <c r="T248" s="6" t="s">
        <v>1856</v>
      </c>
      <c r="U248" s="6" t="s">
        <v>202</v>
      </c>
      <c r="V248" s="24" t="e">
        <f t="shared" ca="1" si="2"/>
        <v>#NAME?</v>
      </c>
      <c r="W248" s="24"/>
      <c r="X248" s="24"/>
      <c r="Y248" s="6" t="s">
        <v>240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2929</v>
      </c>
      <c r="B249" s="37" t="s">
        <v>3350</v>
      </c>
      <c r="C249" s="9">
        <v>450847</v>
      </c>
      <c r="D249" s="9" t="s">
        <v>19</v>
      </c>
      <c r="E249" s="9" t="s">
        <v>20</v>
      </c>
      <c r="F249" s="6" t="s">
        <v>3080</v>
      </c>
      <c r="G249" s="7" t="e">
        <f t="shared" ca="1" si="0"/>
        <v>#NAME?</v>
      </c>
      <c r="H249" s="8" t="s">
        <v>125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185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127</v>
      </c>
      <c r="T249" s="6" t="s">
        <v>3351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2940</v>
      </c>
      <c r="BH249" s="110">
        <v>0</v>
      </c>
      <c r="BI249" s="110" t="s">
        <v>2940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2929</v>
      </c>
      <c r="B250" s="3" t="s">
        <v>1857</v>
      </c>
      <c r="C250" s="9">
        <v>75774</v>
      </c>
      <c r="D250" s="9" t="s">
        <v>19</v>
      </c>
      <c r="E250" s="9" t="s">
        <v>35</v>
      </c>
      <c r="F250" s="9" t="s">
        <v>250</v>
      </c>
      <c r="G250" s="7" t="e">
        <f t="shared" ca="1" si="0"/>
        <v>#NAME?</v>
      </c>
      <c r="H250" s="8" t="s">
        <v>134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185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127</v>
      </c>
      <c r="T250" s="6" t="s">
        <v>1859</v>
      </c>
      <c r="U250" s="6" t="s">
        <v>202</v>
      </c>
      <c r="V250" s="24" t="e">
        <f t="shared" ca="1" si="2"/>
        <v>#NAME?</v>
      </c>
      <c r="W250" s="24"/>
      <c r="X250" s="24"/>
      <c r="Y250" s="6" t="s">
        <v>240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2929</v>
      </c>
      <c r="B251" s="3" t="s">
        <v>3352</v>
      </c>
      <c r="C251" s="9">
        <v>451049</v>
      </c>
      <c r="D251" s="9" t="s">
        <v>2931</v>
      </c>
      <c r="E251" s="9" t="s">
        <v>20</v>
      </c>
      <c r="F251" s="6" t="s">
        <v>2931</v>
      </c>
      <c r="G251" s="7" t="e">
        <f t="shared" ca="1" si="0"/>
        <v>#NAME?</v>
      </c>
      <c r="H251" s="8" t="s">
        <v>125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127</v>
      </c>
      <c r="T251" s="6" t="s">
        <v>3353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2940</v>
      </c>
      <c r="BH251" s="110">
        <v>0</v>
      </c>
      <c r="BI251" s="110" t="s">
        <v>2940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2929</v>
      </c>
      <c r="B252" s="106" t="s">
        <v>3354</v>
      </c>
      <c r="C252" s="9">
        <v>386951</v>
      </c>
      <c r="D252" s="9" t="s">
        <v>19</v>
      </c>
      <c r="E252" s="9" t="s">
        <v>20</v>
      </c>
      <c r="F252" s="6" t="s">
        <v>184</v>
      </c>
      <c r="G252" s="7" t="e">
        <f t="shared" ca="1" si="0"/>
        <v>#NAME?</v>
      </c>
      <c r="H252" s="8" t="s">
        <v>134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127</v>
      </c>
      <c r="T252" s="9" t="s">
        <v>3355</v>
      </c>
      <c r="U252" s="6" t="s">
        <v>2054</v>
      </c>
      <c r="V252" s="24" t="e">
        <f t="shared" ca="1" si="2"/>
        <v>#NAME?</v>
      </c>
      <c r="W252" s="24"/>
      <c r="X252" s="24"/>
      <c r="Y252" s="6" t="s">
        <v>240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2929</v>
      </c>
      <c r="B253" s="37" t="s">
        <v>3356</v>
      </c>
      <c r="C253" s="9">
        <v>273822</v>
      </c>
      <c r="D253" s="9" t="s">
        <v>2931</v>
      </c>
      <c r="E253" s="9" t="s">
        <v>20</v>
      </c>
      <c r="F253" s="6" t="s">
        <v>2932</v>
      </c>
      <c r="G253" s="7" t="e">
        <f t="shared" ca="1" si="0"/>
        <v>#NAME?</v>
      </c>
      <c r="H253" s="8" t="s">
        <v>125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242</v>
      </c>
      <c r="N253" s="10">
        <v>0.02</v>
      </c>
      <c r="O253" s="9" t="s">
        <v>167</v>
      </c>
      <c r="P253" s="234">
        <v>0.2</v>
      </c>
      <c r="Q253" s="108"/>
      <c r="R253" s="108"/>
      <c r="S253" s="7" t="s">
        <v>127</v>
      </c>
      <c r="T253" s="6" t="s">
        <v>3357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2940</v>
      </c>
      <c r="BH253" s="110">
        <v>0</v>
      </c>
      <c r="BI253" s="110" t="s">
        <v>2940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2929</v>
      </c>
      <c r="B254" s="3" t="s">
        <v>3356</v>
      </c>
      <c r="C254" s="9">
        <v>38503</v>
      </c>
      <c r="D254" s="9" t="s">
        <v>19</v>
      </c>
      <c r="E254" s="9" t="s">
        <v>20</v>
      </c>
      <c r="F254" s="9" t="s">
        <v>360</v>
      </c>
      <c r="G254" s="7" t="e">
        <f t="shared" ca="1" si="0"/>
        <v>#NAME?</v>
      </c>
      <c r="H254" s="8" t="s">
        <v>145</v>
      </c>
      <c r="I254" s="24" t="s">
        <v>146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3358</v>
      </c>
      <c r="R254" s="108" t="s">
        <v>3236</v>
      </c>
      <c r="S254" s="7" t="s">
        <v>127</v>
      </c>
      <c r="T254" s="6" t="s">
        <v>3357</v>
      </c>
      <c r="U254" s="9" t="s">
        <v>20</v>
      </c>
      <c r="V254" s="24" t="e">
        <f t="shared" ca="1" si="2"/>
        <v>#NAME?</v>
      </c>
      <c r="W254" s="24"/>
      <c r="X254" s="24"/>
      <c r="Y254" s="6" t="s">
        <v>129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2929</v>
      </c>
      <c r="B255" s="37" t="s">
        <v>1880</v>
      </c>
      <c r="C255" s="9">
        <v>34479</v>
      </c>
      <c r="D255" s="9" t="s">
        <v>19</v>
      </c>
      <c r="E255" s="9" t="s">
        <v>35</v>
      </c>
      <c r="F255" s="6" t="s">
        <v>2979</v>
      </c>
      <c r="G255" s="7" t="e">
        <f t="shared" ca="1" si="0"/>
        <v>#NAME?</v>
      </c>
      <c r="H255" s="8" t="s">
        <v>145</v>
      </c>
      <c r="I255" s="24" t="s">
        <v>146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3359</v>
      </c>
      <c r="R255" s="108"/>
      <c r="S255" s="7" t="s">
        <v>127</v>
      </c>
      <c r="T255" s="6" t="s">
        <v>1883</v>
      </c>
      <c r="U255" s="6" t="s">
        <v>202</v>
      </c>
      <c r="V255" s="24" t="e">
        <f t="shared" ca="1" si="2"/>
        <v>#NAME?</v>
      </c>
      <c r="W255" s="24"/>
      <c r="X255" s="24"/>
      <c r="Y255" s="6" t="s">
        <v>240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2929</v>
      </c>
      <c r="B256" s="37" t="s">
        <v>3360</v>
      </c>
      <c r="C256" s="9">
        <v>297020</v>
      </c>
      <c r="D256" s="9" t="s">
        <v>19</v>
      </c>
      <c r="E256" s="9" t="s">
        <v>20</v>
      </c>
      <c r="F256" s="6" t="s">
        <v>184</v>
      </c>
      <c r="G256" s="7" t="e">
        <f t="shared" ca="1" si="0"/>
        <v>#NAME?</v>
      </c>
      <c r="H256" s="8" t="s">
        <v>125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333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127</v>
      </c>
      <c r="T256" s="6" t="s">
        <v>3361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2940</v>
      </c>
      <c r="BH256" s="110">
        <v>0</v>
      </c>
      <c r="BI256" s="110" t="s">
        <v>2940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2929</v>
      </c>
      <c r="B257" s="3" t="s">
        <v>3362</v>
      </c>
      <c r="C257" s="9">
        <v>32633</v>
      </c>
      <c r="D257" s="9" t="s">
        <v>19</v>
      </c>
      <c r="E257" s="9" t="s">
        <v>35</v>
      </c>
      <c r="F257" s="9" t="s">
        <v>199</v>
      </c>
      <c r="G257" s="7" t="e">
        <f t="shared" ca="1" si="0"/>
        <v>#NAME?</v>
      </c>
      <c r="H257" s="8" t="s">
        <v>125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242</v>
      </c>
      <c r="N257" s="10">
        <v>2.5000000000000001E-2</v>
      </c>
      <c r="O257" s="9" t="s">
        <v>167</v>
      </c>
      <c r="P257" s="234">
        <v>0.2</v>
      </c>
      <c r="Q257" s="23"/>
      <c r="R257" s="28"/>
      <c r="S257" s="7" t="s">
        <v>127</v>
      </c>
      <c r="T257" s="6" t="s">
        <v>3363</v>
      </c>
      <c r="U257" s="6" t="s">
        <v>202</v>
      </c>
      <c r="V257" s="24" t="e">
        <f t="shared" ca="1" si="2"/>
        <v>#NAME?</v>
      </c>
      <c r="W257" s="24"/>
      <c r="X257" s="24"/>
      <c r="Y257" s="6" t="s">
        <v>240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2929</v>
      </c>
      <c r="B258" s="3" t="s">
        <v>3364</v>
      </c>
      <c r="C258" s="9">
        <v>454037</v>
      </c>
      <c r="D258" s="9" t="s">
        <v>19</v>
      </c>
      <c r="E258" s="9" t="s">
        <v>66</v>
      </c>
      <c r="F258" s="9" t="s">
        <v>265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145</v>
      </c>
      <c r="I258" s="24" t="s">
        <v>146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127</v>
      </c>
      <c r="T258" s="6" t="s">
        <v>1914</v>
      </c>
      <c r="U258" s="6" t="s">
        <v>66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129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2929</v>
      </c>
      <c r="B259" s="3" t="s">
        <v>1919</v>
      </c>
      <c r="C259" s="9">
        <v>448825</v>
      </c>
      <c r="D259" s="9" t="s">
        <v>19</v>
      </c>
      <c r="E259" s="9" t="s">
        <v>35</v>
      </c>
      <c r="F259" s="9" t="s">
        <v>250</v>
      </c>
      <c r="G259" s="7" t="e">
        <f t="shared" ca="1" si="4"/>
        <v>#NAME?</v>
      </c>
      <c r="H259" s="8" t="s">
        <v>145</v>
      </c>
      <c r="I259" s="24" t="s">
        <v>146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127</v>
      </c>
      <c r="T259" s="6" t="s">
        <v>1921</v>
      </c>
      <c r="U259" s="6" t="s">
        <v>41</v>
      </c>
      <c r="V259" s="24" t="e">
        <f t="shared" ca="1" si="5"/>
        <v>#NAME?</v>
      </c>
      <c r="W259" s="24"/>
      <c r="X259" s="24"/>
      <c r="Y259" s="6" t="s">
        <v>129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2929</v>
      </c>
      <c r="B260" s="3" t="s">
        <v>3365</v>
      </c>
      <c r="C260" s="9">
        <v>86056</v>
      </c>
      <c r="D260" s="9" t="s">
        <v>19</v>
      </c>
      <c r="E260" s="9" t="s">
        <v>35</v>
      </c>
      <c r="F260" s="9" t="s">
        <v>250</v>
      </c>
      <c r="G260" s="7" t="e">
        <f t="shared" ca="1" si="4"/>
        <v>#NAME?</v>
      </c>
      <c r="H260" s="8" t="s">
        <v>145</v>
      </c>
      <c r="I260" s="24" t="s">
        <v>146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127</v>
      </c>
      <c r="T260" s="6" t="s">
        <v>3366</v>
      </c>
      <c r="U260" s="6" t="s">
        <v>202</v>
      </c>
      <c r="V260" s="24" t="e">
        <f t="shared" ca="1" si="5"/>
        <v>#NAME?</v>
      </c>
      <c r="W260" s="24"/>
      <c r="X260" s="24"/>
      <c r="Y260" s="6" t="s">
        <v>240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2929</v>
      </c>
      <c r="B261" s="3" t="s">
        <v>3367</v>
      </c>
      <c r="C261" s="9">
        <v>75471</v>
      </c>
      <c r="D261" s="9" t="s">
        <v>19</v>
      </c>
      <c r="E261" s="9" t="s">
        <v>35</v>
      </c>
      <c r="F261" s="9" t="s">
        <v>250</v>
      </c>
      <c r="G261" s="7" t="e">
        <f t="shared" ca="1" si="4"/>
        <v>#NAME?</v>
      </c>
      <c r="H261" s="8" t="s">
        <v>145</v>
      </c>
      <c r="I261" s="24" t="s">
        <v>146</v>
      </c>
      <c r="J261" s="9" t="str">
        <f t="shared" si="3"/>
        <v>Não</v>
      </c>
      <c r="K261" s="232">
        <v>44448</v>
      </c>
      <c r="L261" s="6"/>
      <c r="M261" s="6" t="s">
        <v>333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127</v>
      </c>
      <c r="T261" s="6" t="s">
        <v>3368</v>
      </c>
      <c r="U261" s="6" t="s">
        <v>202</v>
      </c>
      <c r="V261" s="24" t="e">
        <f t="shared" ca="1" si="5"/>
        <v>#NAME?</v>
      </c>
      <c r="W261" s="24"/>
      <c r="X261" s="24"/>
      <c r="Y261" s="6" t="s">
        <v>240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2929</v>
      </c>
      <c r="B262" s="3" t="s">
        <v>3369</v>
      </c>
      <c r="C262" s="9">
        <v>447893</v>
      </c>
      <c r="D262" s="9" t="s">
        <v>2931</v>
      </c>
      <c r="E262" s="9" t="s">
        <v>20</v>
      </c>
      <c r="F262" s="6" t="s">
        <v>2932</v>
      </c>
      <c r="G262" s="7" t="e">
        <f t="shared" ca="1" si="4"/>
        <v>#NAME?</v>
      </c>
      <c r="H262" s="8" t="s">
        <v>125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185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127</v>
      </c>
      <c r="T262" s="6" t="s">
        <v>3370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2940</v>
      </c>
      <c r="BH262" s="110">
        <v>0</v>
      </c>
      <c r="BI262" s="110" t="s">
        <v>2940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2929</v>
      </c>
      <c r="B263" s="3" t="s">
        <v>3371</v>
      </c>
      <c r="C263" s="9">
        <v>76397</v>
      </c>
      <c r="D263" s="9" t="s">
        <v>19</v>
      </c>
      <c r="E263" s="9" t="s">
        <v>35</v>
      </c>
      <c r="F263" s="9" t="s">
        <v>250</v>
      </c>
      <c r="G263" s="7" t="e">
        <f t="shared" ca="1" si="4"/>
        <v>#NAME?</v>
      </c>
      <c r="H263" s="8" t="s">
        <v>145</v>
      </c>
      <c r="I263" s="24" t="s">
        <v>146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127</v>
      </c>
      <c r="T263" s="6" t="s">
        <v>3372</v>
      </c>
      <c r="U263" s="6" t="s">
        <v>202</v>
      </c>
      <c r="V263" s="24" t="e">
        <f t="shared" ca="1" si="5"/>
        <v>#NAME?</v>
      </c>
      <c r="W263" s="24"/>
      <c r="X263" s="24"/>
      <c r="Y263" s="6" t="s">
        <v>240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2929</v>
      </c>
      <c r="B264" s="3" t="s">
        <v>1937</v>
      </c>
      <c r="C264" s="9" t="s">
        <v>3373</v>
      </c>
      <c r="D264" s="9" t="s">
        <v>19</v>
      </c>
      <c r="E264" s="9" t="s">
        <v>35</v>
      </c>
      <c r="F264" s="6" t="s">
        <v>199</v>
      </c>
      <c r="G264" s="7" t="e">
        <f t="shared" ca="1" si="4"/>
        <v>#NAME?</v>
      </c>
      <c r="H264" s="8" t="s">
        <v>125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185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127</v>
      </c>
      <c r="T264" s="6" t="s">
        <v>1939</v>
      </c>
      <c r="U264" s="6" t="s">
        <v>202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2940</v>
      </c>
      <c r="BH264" s="110">
        <v>0</v>
      </c>
      <c r="BI264" s="110" t="s">
        <v>2940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2929</v>
      </c>
      <c r="B265" s="36" t="s">
        <v>1937</v>
      </c>
      <c r="C265" s="9">
        <v>78937</v>
      </c>
      <c r="D265" s="9" t="s">
        <v>19</v>
      </c>
      <c r="E265" s="9" t="s">
        <v>35</v>
      </c>
      <c r="F265" s="9" t="s">
        <v>199</v>
      </c>
      <c r="G265" s="7" t="e">
        <f t="shared" ca="1" si="4"/>
        <v>#NAME?</v>
      </c>
      <c r="H265" s="8" t="s">
        <v>145</v>
      </c>
      <c r="I265" s="24" t="s">
        <v>146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3374</v>
      </c>
      <c r="R265" s="108"/>
      <c r="S265" s="7" t="s">
        <v>127</v>
      </c>
      <c r="T265" s="9" t="s">
        <v>1939</v>
      </c>
      <c r="U265" s="6" t="s">
        <v>202</v>
      </c>
      <c r="V265" s="24" t="e">
        <f t="shared" ca="1" si="5"/>
        <v>#NAME?</v>
      </c>
      <c r="W265" s="24"/>
      <c r="X265" s="24"/>
      <c r="Y265" s="6" t="s">
        <v>240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2929</v>
      </c>
      <c r="B266" s="36" t="s">
        <v>3375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145</v>
      </c>
      <c r="I266" s="24" t="s">
        <v>146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3376</v>
      </c>
      <c r="S266" s="7" t="s">
        <v>127</v>
      </c>
      <c r="T266" s="9" t="s">
        <v>3377</v>
      </c>
      <c r="U266" s="9" t="s">
        <v>20</v>
      </c>
      <c r="V266" s="24" t="e">
        <f t="shared" ca="1" si="5"/>
        <v>#NAME?</v>
      </c>
      <c r="W266" s="24"/>
      <c r="X266" s="24"/>
      <c r="Y266" s="6" t="s">
        <v>240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2929</v>
      </c>
      <c r="B267" s="3" t="s">
        <v>3378</v>
      </c>
      <c r="C267" s="9">
        <v>449558</v>
      </c>
      <c r="D267" s="9" t="s">
        <v>19</v>
      </c>
      <c r="E267" s="9" t="s">
        <v>35</v>
      </c>
      <c r="F267" s="6" t="s">
        <v>250</v>
      </c>
      <c r="G267" s="7" t="e">
        <f t="shared" ca="1" si="4"/>
        <v>#NAME?</v>
      </c>
      <c r="H267" s="8" t="s">
        <v>125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333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127</v>
      </c>
      <c r="T267" s="6" t="s">
        <v>3379</v>
      </c>
      <c r="U267" s="6" t="s">
        <v>202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2940</v>
      </c>
      <c r="BH267" s="110">
        <v>0</v>
      </c>
      <c r="BI267" s="110" t="s">
        <v>2940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2929</v>
      </c>
      <c r="B268" s="37" t="s">
        <v>3380</v>
      </c>
      <c r="C268" s="9">
        <v>267262</v>
      </c>
      <c r="D268" s="9" t="s">
        <v>2931</v>
      </c>
      <c r="E268" s="9" t="s">
        <v>20</v>
      </c>
      <c r="F268" s="6" t="s">
        <v>2938</v>
      </c>
      <c r="G268" s="7" t="e">
        <f t="shared" ca="1" si="4"/>
        <v>#NAME?</v>
      </c>
      <c r="H268" s="8" t="s">
        <v>125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127</v>
      </c>
      <c r="T268" s="6" t="s">
        <v>3381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2940</v>
      </c>
      <c r="BH268" s="110">
        <v>0</v>
      </c>
      <c r="BI268" s="110" t="s">
        <v>2940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2929</v>
      </c>
      <c r="B269" s="37" t="s">
        <v>3380</v>
      </c>
      <c r="C269" s="9">
        <v>421828</v>
      </c>
      <c r="D269" s="9" t="s">
        <v>2931</v>
      </c>
      <c r="E269" s="9" t="s">
        <v>20</v>
      </c>
      <c r="F269" s="6" t="s">
        <v>2938</v>
      </c>
      <c r="G269" s="7" t="e">
        <f t="shared" ca="1" si="4"/>
        <v>#NAME?</v>
      </c>
      <c r="H269" s="8" t="s">
        <v>125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185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127</v>
      </c>
      <c r="T269" s="6" t="s">
        <v>3381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2940</v>
      </c>
      <c r="BH269" s="110">
        <v>0</v>
      </c>
      <c r="BI269" s="110" t="s">
        <v>2940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2929</v>
      </c>
      <c r="B270" s="3" t="s">
        <v>3382</v>
      </c>
      <c r="C270" s="9">
        <v>452835</v>
      </c>
      <c r="D270" s="9" t="s">
        <v>2931</v>
      </c>
      <c r="E270" s="9" t="s">
        <v>20</v>
      </c>
      <c r="F270" s="9" t="s">
        <v>2932</v>
      </c>
      <c r="G270" s="7" t="e">
        <f t="shared" ca="1" si="4"/>
        <v>#NAME?</v>
      </c>
      <c r="H270" s="8" t="s">
        <v>145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127</v>
      </c>
      <c r="T270" s="6" t="s">
        <v>3383</v>
      </c>
      <c r="U270" s="9" t="s">
        <v>20</v>
      </c>
      <c r="V270" s="24" t="e">
        <f t="shared" ca="1" si="5"/>
        <v>#NAME?</v>
      </c>
      <c r="W270" s="24"/>
      <c r="X270" s="24"/>
      <c r="Y270" s="6" t="s">
        <v>240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2929</v>
      </c>
      <c r="B271" s="3" t="s">
        <v>3384</v>
      </c>
      <c r="C271" s="9">
        <v>444263</v>
      </c>
      <c r="D271" s="9" t="s">
        <v>19</v>
      </c>
      <c r="E271" s="9" t="s">
        <v>35</v>
      </c>
      <c r="F271" s="6" t="s">
        <v>2979</v>
      </c>
      <c r="G271" s="7" t="e">
        <f t="shared" ca="1" si="4"/>
        <v>#NAME?</v>
      </c>
      <c r="H271" s="8" t="s">
        <v>125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127</v>
      </c>
      <c r="T271" s="6" t="s">
        <v>3385</v>
      </c>
      <c r="U271" s="6" t="s">
        <v>202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2940</v>
      </c>
      <c r="BH271" s="110">
        <v>0</v>
      </c>
      <c r="BI271" s="110" t="s">
        <v>2940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2929</v>
      </c>
      <c r="B272" s="3" t="s">
        <v>1983</v>
      </c>
      <c r="C272" s="9">
        <v>287545</v>
      </c>
      <c r="D272" s="9" t="s">
        <v>19</v>
      </c>
      <c r="E272" s="9" t="s">
        <v>35</v>
      </c>
      <c r="F272" s="9" t="s">
        <v>250</v>
      </c>
      <c r="G272" s="7" t="e">
        <f t="shared" ca="1" si="4"/>
        <v>#NAME?</v>
      </c>
      <c r="H272" s="8" t="s">
        <v>145</v>
      </c>
      <c r="I272" s="24" t="s">
        <v>146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127</v>
      </c>
      <c r="T272" s="6" t="s">
        <v>1985</v>
      </c>
      <c r="U272" s="6" t="s">
        <v>202</v>
      </c>
      <c r="V272" s="24" t="e">
        <f t="shared" ca="1" si="5"/>
        <v>#NAME?</v>
      </c>
      <c r="W272" s="24"/>
      <c r="X272" s="24"/>
      <c r="Y272" s="6" t="s">
        <v>240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2929</v>
      </c>
      <c r="B273" s="3" t="s">
        <v>3386</v>
      </c>
      <c r="C273" s="9">
        <v>269865</v>
      </c>
      <c r="D273" s="9" t="s">
        <v>2931</v>
      </c>
      <c r="E273" s="9" t="s">
        <v>20</v>
      </c>
      <c r="F273" s="6" t="s">
        <v>2938</v>
      </c>
      <c r="G273" s="7" t="e">
        <f t="shared" ca="1" si="4"/>
        <v>#NAME?</v>
      </c>
      <c r="H273" s="8" t="s">
        <v>125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127</v>
      </c>
      <c r="T273" s="6" t="s">
        <v>3387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2940</v>
      </c>
      <c r="BH273" s="110">
        <v>0</v>
      </c>
      <c r="BI273" s="110" t="s">
        <v>2940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2929</v>
      </c>
      <c r="B274" s="37" t="s">
        <v>2018</v>
      </c>
      <c r="C274" s="9">
        <v>559567</v>
      </c>
      <c r="D274" s="9" t="s">
        <v>19</v>
      </c>
      <c r="E274" s="9" t="s">
        <v>35</v>
      </c>
      <c r="F274" s="6" t="s">
        <v>199</v>
      </c>
      <c r="G274" s="7" t="e">
        <f t="shared" ca="1" si="4"/>
        <v>#NAME?</v>
      </c>
      <c r="H274" s="8" t="s">
        <v>125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127</v>
      </c>
      <c r="T274" s="6" t="s">
        <v>2020</v>
      </c>
      <c r="U274" s="6" t="s">
        <v>41</v>
      </c>
      <c r="V274" s="24" t="e">
        <f t="shared" ca="1" si="5"/>
        <v>#NAME?</v>
      </c>
      <c r="W274" s="24"/>
      <c r="X274" s="24"/>
      <c r="Y274" s="6" t="s">
        <v>240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2940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2929</v>
      </c>
      <c r="B275" s="37" t="s">
        <v>2018</v>
      </c>
      <c r="C275" s="9">
        <v>559581</v>
      </c>
      <c r="D275" s="9" t="s">
        <v>19</v>
      </c>
      <c r="E275" s="9" t="s">
        <v>35</v>
      </c>
      <c r="F275" s="6" t="s">
        <v>199</v>
      </c>
      <c r="G275" s="7" t="e">
        <f t="shared" ca="1" si="4"/>
        <v>#NAME?</v>
      </c>
      <c r="H275" s="8" t="s">
        <v>125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3155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127</v>
      </c>
      <c r="T275" s="6" t="s">
        <v>2020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2940</v>
      </c>
      <c r="BH275" s="110">
        <v>0</v>
      </c>
      <c r="BI275" s="110" t="s">
        <v>2940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2929</v>
      </c>
      <c r="B276" s="37" t="s">
        <v>2018</v>
      </c>
      <c r="C276" s="9">
        <v>33838</v>
      </c>
      <c r="D276" s="9" t="s">
        <v>19</v>
      </c>
      <c r="E276" s="9" t="s">
        <v>35</v>
      </c>
      <c r="F276" s="9" t="s">
        <v>606</v>
      </c>
      <c r="G276" s="7" t="e">
        <f t="shared" ca="1" si="4"/>
        <v>#NAME?</v>
      </c>
      <c r="H276" s="8" t="s">
        <v>134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127</v>
      </c>
      <c r="T276" s="6" t="s">
        <v>2020</v>
      </c>
      <c r="U276" s="6" t="s">
        <v>41</v>
      </c>
      <c r="V276" s="24" t="e">
        <f t="shared" ca="1" si="5"/>
        <v>#NAME?</v>
      </c>
      <c r="W276" s="24"/>
      <c r="X276" s="24"/>
      <c r="Y276" s="6" t="s">
        <v>129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2929</v>
      </c>
      <c r="B277" s="37" t="s">
        <v>3388</v>
      </c>
      <c r="C277" s="9">
        <v>35627</v>
      </c>
      <c r="D277" s="9" t="s">
        <v>19</v>
      </c>
      <c r="E277" s="9" t="s">
        <v>35</v>
      </c>
      <c r="F277" s="9" t="s">
        <v>199</v>
      </c>
      <c r="G277" s="7" t="e">
        <f t="shared" ca="1" si="4"/>
        <v>#NAME?</v>
      </c>
      <c r="H277" s="8" t="s">
        <v>125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185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127</v>
      </c>
      <c r="T277" s="6" t="s">
        <v>3389</v>
      </c>
      <c r="U277" s="6" t="s">
        <v>202</v>
      </c>
      <c r="V277" s="24" t="e">
        <f t="shared" ca="1" si="5"/>
        <v>#NAME?</v>
      </c>
      <c r="W277" s="24"/>
      <c r="X277" s="24"/>
      <c r="Y277" s="6" t="s">
        <v>240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2929</v>
      </c>
      <c r="B278" s="3" t="s">
        <v>3390</v>
      </c>
      <c r="C278" s="9">
        <v>32684</v>
      </c>
      <c r="D278" s="9" t="s">
        <v>19</v>
      </c>
      <c r="E278" s="9" t="s">
        <v>35</v>
      </c>
      <c r="F278" s="9" t="s">
        <v>250</v>
      </c>
      <c r="G278" s="7" t="e">
        <f t="shared" ca="1" si="4"/>
        <v>#NAME?</v>
      </c>
      <c r="H278" s="8" t="s">
        <v>145</v>
      </c>
      <c r="I278" s="24" t="s">
        <v>146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127</v>
      </c>
      <c r="T278" s="6" t="s">
        <v>3391</v>
      </c>
      <c r="U278" s="6" t="s">
        <v>202</v>
      </c>
      <c r="V278" s="24" t="e">
        <f t="shared" ca="1" si="5"/>
        <v>#NAME?</v>
      </c>
      <c r="W278" s="24"/>
      <c r="X278" s="24"/>
      <c r="Y278" s="6" t="s">
        <v>240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2929</v>
      </c>
      <c r="B279" s="36" t="s">
        <v>3392</v>
      </c>
      <c r="C279" s="9">
        <v>85707</v>
      </c>
      <c r="D279" s="9" t="s">
        <v>2997</v>
      </c>
      <c r="E279" s="9" t="s">
        <v>20</v>
      </c>
      <c r="F279" s="9" t="s">
        <v>2997</v>
      </c>
      <c r="G279" s="7" t="e">
        <f t="shared" ca="1" si="4"/>
        <v>#NAME?</v>
      </c>
      <c r="H279" s="8" t="s">
        <v>134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242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127</v>
      </c>
      <c r="T279" s="9" t="s">
        <v>3393</v>
      </c>
      <c r="U279" s="9" t="s">
        <v>20</v>
      </c>
      <c r="V279" s="24" t="e">
        <f t="shared" ca="1" si="5"/>
        <v>#NAME?</v>
      </c>
      <c r="W279" s="24"/>
      <c r="X279" s="24"/>
      <c r="Y279" s="6" t="s">
        <v>240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2929</v>
      </c>
      <c r="B280" s="3" t="s">
        <v>3394</v>
      </c>
      <c r="C280" s="9">
        <v>378146</v>
      </c>
      <c r="D280" s="9" t="s">
        <v>19</v>
      </c>
      <c r="E280" s="9" t="s">
        <v>20</v>
      </c>
      <c r="F280" s="6" t="s">
        <v>184</v>
      </c>
      <c r="G280" s="7" t="e">
        <f t="shared" ca="1" si="4"/>
        <v>#NAME?</v>
      </c>
      <c r="H280" s="8" t="s">
        <v>134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127</v>
      </c>
      <c r="T280" s="6" t="s">
        <v>2053</v>
      </c>
      <c r="U280" s="6" t="s">
        <v>2054</v>
      </c>
      <c r="V280" s="24" t="e">
        <f t="shared" ca="1" si="5"/>
        <v>#NAME?</v>
      </c>
      <c r="W280" s="24"/>
      <c r="X280" s="24"/>
      <c r="Y280" s="6" t="s">
        <v>240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2929</v>
      </c>
      <c r="B281" s="3" t="s">
        <v>3395</v>
      </c>
      <c r="C281" s="9">
        <v>583149</v>
      </c>
      <c r="D281" s="9" t="s">
        <v>2931</v>
      </c>
      <c r="E281" s="9" t="s">
        <v>20</v>
      </c>
      <c r="F281" s="6" t="s">
        <v>2931</v>
      </c>
      <c r="G281" s="7" t="e">
        <f t="shared" ca="1" si="4"/>
        <v>#NAME?</v>
      </c>
      <c r="H281" s="8" t="s">
        <v>125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3396</v>
      </c>
      <c r="N281" s="10">
        <v>0.02</v>
      </c>
      <c r="O281" s="9" t="s">
        <v>167</v>
      </c>
      <c r="P281" s="234">
        <v>0.2</v>
      </c>
      <c r="Q281" s="108"/>
      <c r="R281" s="108"/>
      <c r="S281" s="7" t="s">
        <v>127</v>
      </c>
      <c r="T281" s="6" t="s">
        <v>3397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3398</v>
      </c>
      <c r="AJ281" s="240" t="s">
        <v>3398</v>
      </c>
      <c r="AK281" s="240" t="s">
        <v>3398</v>
      </c>
      <c r="AL281" s="240" t="s">
        <v>3398</v>
      </c>
      <c r="AM281" s="110" t="s">
        <v>3398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2929</v>
      </c>
      <c r="B282" s="3" t="s">
        <v>3399</v>
      </c>
      <c r="C282" s="9">
        <v>80477</v>
      </c>
      <c r="D282" s="9" t="s">
        <v>2997</v>
      </c>
      <c r="E282" s="9" t="s">
        <v>20</v>
      </c>
      <c r="F282" s="9" t="s">
        <v>2997</v>
      </c>
      <c r="G282" s="7" t="e">
        <f t="shared" ca="1" si="4"/>
        <v>#NAME?</v>
      </c>
      <c r="H282" s="8" t="s">
        <v>145</v>
      </c>
      <c r="I282" s="24" t="s">
        <v>146</v>
      </c>
      <c r="J282" s="9" t="str">
        <f t="shared" si="3"/>
        <v>Não</v>
      </c>
      <c r="K282" s="232">
        <v>43441</v>
      </c>
      <c r="L282" s="6"/>
      <c r="M282" s="6" t="s">
        <v>242</v>
      </c>
      <c r="N282" s="233">
        <v>0.01</v>
      </c>
      <c r="O282" s="9" t="s">
        <v>167</v>
      </c>
      <c r="P282" s="234">
        <v>0.2</v>
      </c>
      <c r="Q282" s="108"/>
      <c r="R282" s="108"/>
      <c r="S282" s="7" t="s">
        <v>127</v>
      </c>
      <c r="T282" s="6" t="s">
        <v>3400</v>
      </c>
      <c r="U282" s="6" t="s">
        <v>20</v>
      </c>
      <c r="V282" s="24" t="e">
        <f t="shared" ca="1" si="5"/>
        <v>#NAME?</v>
      </c>
      <c r="W282" s="24"/>
      <c r="X282" s="24"/>
      <c r="Y282" s="6" t="s">
        <v>240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2929</v>
      </c>
      <c r="B283" s="3" t="s">
        <v>3401</v>
      </c>
      <c r="C283" s="9">
        <v>36945</v>
      </c>
      <c r="D283" s="9" t="s">
        <v>19</v>
      </c>
      <c r="E283" s="9" t="s">
        <v>35</v>
      </c>
      <c r="F283" s="9" t="s">
        <v>250</v>
      </c>
      <c r="G283" s="7" t="e">
        <f t="shared" ca="1" si="4"/>
        <v>#NAME?</v>
      </c>
      <c r="H283" s="8" t="s">
        <v>145</v>
      </c>
      <c r="I283" s="24" t="s">
        <v>146</v>
      </c>
      <c r="J283" s="9" t="str">
        <f t="shared" si="3"/>
        <v>Não</v>
      </c>
      <c r="K283" s="232">
        <v>44280</v>
      </c>
      <c r="L283" s="6"/>
      <c r="M283" s="6" t="s">
        <v>185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127</v>
      </c>
      <c r="T283" s="6" t="s">
        <v>3402</v>
      </c>
      <c r="U283" s="6" t="s">
        <v>202</v>
      </c>
      <c r="V283" s="24" t="e">
        <f t="shared" ca="1" si="5"/>
        <v>#NAME?</v>
      </c>
      <c r="W283" s="24"/>
      <c r="X283" s="24"/>
      <c r="Y283" s="6" t="s">
        <v>240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2929</v>
      </c>
      <c r="B284" s="3" t="s">
        <v>3403</v>
      </c>
      <c r="C284" s="9">
        <v>89180</v>
      </c>
      <c r="D284" s="9" t="s">
        <v>19</v>
      </c>
      <c r="E284" s="9" t="s">
        <v>35</v>
      </c>
      <c r="F284" s="6" t="s">
        <v>250</v>
      </c>
      <c r="G284" s="7" t="e">
        <f t="shared" ca="1" si="4"/>
        <v>#NAME?</v>
      </c>
      <c r="H284" s="8" t="s">
        <v>125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185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171</v>
      </c>
      <c r="T284" s="6" t="s">
        <v>3404</v>
      </c>
      <c r="U284" s="6" t="s">
        <v>202</v>
      </c>
      <c r="V284" s="24" t="e">
        <f t="shared" ca="1" si="5"/>
        <v>#NAME?</v>
      </c>
      <c r="W284" s="24"/>
      <c r="X284" s="24"/>
      <c r="Y284" s="6" t="s">
        <v>240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2940</v>
      </c>
      <c r="BH284" s="110">
        <v>0</v>
      </c>
      <c r="BI284" s="110" t="s">
        <v>2940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2929</v>
      </c>
      <c r="B285" s="3" t="s">
        <v>3405</v>
      </c>
      <c r="C285" s="9">
        <v>434339</v>
      </c>
      <c r="D285" s="9" t="s">
        <v>2931</v>
      </c>
      <c r="E285" s="9" t="s">
        <v>20</v>
      </c>
      <c r="F285" s="6" t="s">
        <v>2932</v>
      </c>
      <c r="G285" s="7" t="e">
        <f t="shared" ca="1" si="4"/>
        <v>#NAME?</v>
      </c>
      <c r="H285" s="8" t="s">
        <v>125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185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127</v>
      </c>
      <c r="T285" s="6" t="s">
        <v>3406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2940</v>
      </c>
      <c r="BH285" s="110">
        <v>0</v>
      </c>
      <c r="BI285" s="110" t="s">
        <v>2940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2929</v>
      </c>
      <c r="B286" s="37" t="s">
        <v>2132</v>
      </c>
      <c r="C286" s="9">
        <v>32359</v>
      </c>
      <c r="D286" s="9" t="s">
        <v>19</v>
      </c>
      <c r="E286" s="9" t="s">
        <v>35</v>
      </c>
      <c r="F286" s="9" t="s">
        <v>199</v>
      </c>
      <c r="G286" s="7" t="e">
        <f t="shared" ca="1" si="4"/>
        <v>#NAME?</v>
      </c>
      <c r="H286" s="8" t="s">
        <v>145</v>
      </c>
      <c r="I286" s="24" t="s">
        <v>146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127</v>
      </c>
      <c r="T286" s="6" t="s">
        <v>2135</v>
      </c>
      <c r="U286" s="6" t="s">
        <v>202</v>
      </c>
      <c r="V286" s="24" t="e">
        <f t="shared" ca="1" si="5"/>
        <v>#NAME?</v>
      </c>
      <c r="W286" s="24"/>
      <c r="X286" s="24"/>
      <c r="Y286" s="6" t="s">
        <v>240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2929</v>
      </c>
      <c r="B287" s="106" t="s">
        <v>2136</v>
      </c>
      <c r="C287" s="9">
        <v>453188</v>
      </c>
      <c r="D287" s="9" t="s">
        <v>19</v>
      </c>
      <c r="E287" s="9" t="s">
        <v>35</v>
      </c>
      <c r="F287" s="9" t="s">
        <v>199</v>
      </c>
      <c r="G287" s="7" t="e">
        <f t="shared" ca="1" si="4"/>
        <v>#NAME?</v>
      </c>
      <c r="H287" s="8" t="s">
        <v>145</v>
      </c>
      <c r="I287" s="24" t="s">
        <v>146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127</v>
      </c>
      <c r="T287" s="9" t="s">
        <v>2138</v>
      </c>
      <c r="U287" s="6" t="s">
        <v>202</v>
      </c>
      <c r="V287" s="24" t="e">
        <f t="shared" ca="1" si="5"/>
        <v>#NAME?</v>
      </c>
      <c r="W287" s="24"/>
      <c r="X287" s="24"/>
      <c r="Y287" s="6" t="s">
        <v>240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2929</v>
      </c>
      <c r="B288" s="37" t="s">
        <v>3407</v>
      </c>
      <c r="C288" s="9">
        <v>273075</v>
      </c>
      <c r="D288" s="9" t="s">
        <v>2931</v>
      </c>
      <c r="E288" s="9" t="s">
        <v>20</v>
      </c>
      <c r="F288" s="6" t="s">
        <v>2932</v>
      </c>
      <c r="G288" s="7" t="e">
        <f t="shared" ca="1" si="4"/>
        <v>#NAME?</v>
      </c>
      <c r="H288" s="8" t="s">
        <v>125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185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127</v>
      </c>
      <c r="T288" s="6" t="s">
        <v>3408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2940</v>
      </c>
      <c r="BH288" s="110">
        <v>0</v>
      </c>
      <c r="BI288" s="110" t="s">
        <v>2940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2929</v>
      </c>
      <c r="B289" s="106" t="s">
        <v>2157</v>
      </c>
      <c r="C289" s="9">
        <v>32067</v>
      </c>
      <c r="D289" s="9" t="s">
        <v>19</v>
      </c>
      <c r="E289" s="9" t="s">
        <v>35</v>
      </c>
      <c r="F289" s="9" t="s">
        <v>199</v>
      </c>
      <c r="G289" s="7" t="e">
        <f t="shared" ca="1" si="4"/>
        <v>#NAME?</v>
      </c>
      <c r="H289" s="8" t="s">
        <v>145</v>
      </c>
      <c r="I289" s="24" t="s">
        <v>146</v>
      </c>
      <c r="J289" s="9" t="str">
        <f t="shared" si="3"/>
        <v>Sim</v>
      </c>
      <c r="K289" s="232">
        <v>44263</v>
      </c>
      <c r="L289" s="7"/>
      <c r="M289" s="6" t="s">
        <v>185</v>
      </c>
      <c r="N289" s="10">
        <v>1.4999999999999999E-2</v>
      </c>
      <c r="O289" s="9" t="s">
        <v>39</v>
      </c>
      <c r="P289" s="234">
        <v>0.1</v>
      </c>
      <c r="Q289" s="108" t="s">
        <v>3409</v>
      </c>
      <c r="R289" s="108"/>
      <c r="S289" s="7" t="s">
        <v>127</v>
      </c>
      <c r="T289" s="9" t="s">
        <v>2160</v>
      </c>
      <c r="U289" s="6" t="s">
        <v>202</v>
      </c>
      <c r="V289" s="24" t="e">
        <f t="shared" ca="1" si="5"/>
        <v>#NAME?</v>
      </c>
      <c r="W289" s="24"/>
      <c r="X289" s="24"/>
      <c r="Y289" s="6" t="s">
        <v>240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2929</v>
      </c>
      <c r="B290" s="37" t="s">
        <v>3410</v>
      </c>
      <c r="C290" s="9">
        <v>367566</v>
      </c>
      <c r="D290" s="9" t="s">
        <v>19</v>
      </c>
      <c r="E290" s="9" t="s">
        <v>35</v>
      </c>
      <c r="F290" s="9" t="s">
        <v>199</v>
      </c>
      <c r="G290" s="7" t="e">
        <f t="shared" ca="1" si="4"/>
        <v>#NAME?</v>
      </c>
      <c r="H290" s="8" t="s">
        <v>145</v>
      </c>
      <c r="I290" s="24" t="s">
        <v>146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3409</v>
      </c>
      <c r="R290" s="108"/>
      <c r="S290" s="7" t="s">
        <v>127</v>
      </c>
      <c r="T290" s="6" t="s">
        <v>2160</v>
      </c>
      <c r="U290" s="6" t="s">
        <v>202</v>
      </c>
      <c r="V290" s="24" t="e">
        <f t="shared" ca="1" si="5"/>
        <v>#NAME?</v>
      </c>
      <c r="W290" s="24"/>
      <c r="X290" s="24"/>
      <c r="Y290" s="6" t="s">
        <v>240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2929</v>
      </c>
      <c r="B291" s="37" t="s">
        <v>3411</v>
      </c>
      <c r="C291" s="9">
        <v>338435</v>
      </c>
      <c r="D291" s="9" t="s">
        <v>2931</v>
      </c>
      <c r="E291" s="9" t="s">
        <v>20</v>
      </c>
      <c r="F291" s="6" t="s">
        <v>2938</v>
      </c>
      <c r="G291" s="7" t="e">
        <f t="shared" ca="1" si="4"/>
        <v>#NAME?</v>
      </c>
      <c r="H291" s="8" t="s">
        <v>125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185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127</v>
      </c>
      <c r="T291" s="6" t="s">
        <v>3412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2940</v>
      </c>
      <c r="BH291" s="110">
        <v>0</v>
      </c>
      <c r="BI291" s="110" t="s">
        <v>2940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2929</v>
      </c>
      <c r="B292" s="37" t="s">
        <v>3411</v>
      </c>
      <c r="C292" s="9">
        <v>577330</v>
      </c>
      <c r="D292" s="9" t="s">
        <v>2931</v>
      </c>
      <c r="E292" s="9" t="s">
        <v>20</v>
      </c>
      <c r="F292" s="6" t="s">
        <v>2938</v>
      </c>
      <c r="G292" s="7" t="e">
        <f t="shared" ca="1" si="4"/>
        <v>#NAME?</v>
      </c>
      <c r="H292" s="8" t="s">
        <v>125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127</v>
      </c>
      <c r="T292" s="6" t="s">
        <v>3412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2940</v>
      </c>
      <c r="BH292" s="110">
        <v>0</v>
      </c>
      <c r="BI292" s="110" t="s">
        <v>2940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2929</v>
      </c>
      <c r="B293" s="3" t="s">
        <v>3413</v>
      </c>
      <c r="C293" s="9">
        <v>466334</v>
      </c>
      <c r="D293" s="9" t="s">
        <v>19</v>
      </c>
      <c r="E293" s="9" t="s">
        <v>35</v>
      </c>
      <c r="F293" s="6" t="s">
        <v>199</v>
      </c>
      <c r="G293" s="7" t="e">
        <f t="shared" ca="1" si="4"/>
        <v>#NAME?</v>
      </c>
      <c r="H293" s="8" t="s">
        <v>125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242</v>
      </c>
      <c r="N293" s="10">
        <v>2.5000000000000001E-2</v>
      </c>
      <c r="O293" s="9" t="s">
        <v>167</v>
      </c>
      <c r="P293" s="234">
        <v>0.2</v>
      </c>
      <c r="Q293" s="108"/>
      <c r="R293" s="108"/>
      <c r="S293" s="7" t="s">
        <v>171</v>
      </c>
      <c r="T293" s="6" t="s">
        <v>3414</v>
      </c>
      <c r="U293" s="6" t="s">
        <v>202</v>
      </c>
      <c r="V293" s="24" t="e">
        <f t="shared" ca="1" si="5"/>
        <v>#NAME?</v>
      </c>
      <c r="W293" s="24"/>
      <c r="X293" s="24"/>
      <c r="Y293" s="6" t="s">
        <v>240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2940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2929</v>
      </c>
      <c r="B294" s="106" t="s">
        <v>3415</v>
      </c>
      <c r="C294" s="9">
        <v>465880</v>
      </c>
      <c r="D294" s="9" t="s">
        <v>19</v>
      </c>
      <c r="E294" s="9" t="s">
        <v>35</v>
      </c>
      <c r="F294" s="9" t="s">
        <v>199</v>
      </c>
      <c r="G294" s="7" t="e">
        <f t="shared" ca="1" si="4"/>
        <v>#NAME?</v>
      </c>
      <c r="H294" s="8" t="s">
        <v>145</v>
      </c>
      <c r="I294" s="24" t="s">
        <v>146</v>
      </c>
      <c r="J294" s="9" t="str">
        <f t="shared" si="3"/>
        <v>Não</v>
      </c>
      <c r="K294" s="232">
        <v>44280</v>
      </c>
      <c r="L294" s="6"/>
      <c r="M294" s="6" t="s">
        <v>333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127</v>
      </c>
      <c r="T294" s="9" t="s">
        <v>3416</v>
      </c>
      <c r="U294" s="6" t="s">
        <v>202</v>
      </c>
      <c r="V294" s="24" t="e">
        <f t="shared" ca="1" si="5"/>
        <v>#NAME?</v>
      </c>
      <c r="W294" s="24"/>
      <c r="X294" s="24"/>
      <c r="Y294" s="6" t="s">
        <v>240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2929</v>
      </c>
      <c r="B295" s="3" t="s">
        <v>2181</v>
      </c>
      <c r="C295" s="9">
        <v>74276</v>
      </c>
      <c r="D295" s="9" t="s">
        <v>19</v>
      </c>
      <c r="E295" s="9" t="s">
        <v>35</v>
      </c>
      <c r="F295" s="9" t="s">
        <v>250</v>
      </c>
      <c r="G295" s="7" t="e">
        <f t="shared" ca="1" si="4"/>
        <v>#NAME?</v>
      </c>
      <c r="H295" s="8" t="s">
        <v>145</v>
      </c>
      <c r="I295" s="24" t="s">
        <v>146</v>
      </c>
      <c r="J295" s="9" t="str">
        <f t="shared" si="3"/>
        <v>Não</v>
      </c>
      <c r="K295" s="25">
        <v>44362</v>
      </c>
      <c r="L295" s="7"/>
      <c r="M295" s="6" t="s">
        <v>185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171</v>
      </c>
      <c r="T295" s="6" t="s">
        <v>2184</v>
      </c>
      <c r="U295" s="6" t="s">
        <v>202</v>
      </c>
      <c r="V295" s="24" t="e">
        <f t="shared" ca="1" si="5"/>
        <v>#NAME?</v>
      </c>
      <c r="W295" s="24"/>
      <c r="X295" s="24"/>
      <c r="Y295" s="6" t="s">
        <v>240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2929</v>
      </c>
      <c r="B296" s="37" t="s">
        <v>3417</v>
      </c>
      <c r="C296" s="9">
        <v>84645</v>
      </c>
      <c r="D296" s="9" t="s">
        <v>2997</v>
      </c>
      <c r="E296" s="9" t="s">
        <v>20</v>
      </c>
      <c r="F296" s="6" t="s">
        <v>2997</v>
      </c>
      <c r="G296" s="7" t="e">
        <f t="shared" ca="1" si="4"/>
        <v>#NAME?</v>
      </c>
      <c r="H296" s="8" t="s">
        <v>125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242</v>
      </c>
      <c r="N296" s="10">
        <v>8.0000000000000002E-3</v>
      </c>
      <c r="O296" s="9" t="s">
        <v>167</v>
      </c>
      <c r="P296" s="234">
        <v>0.2</v>
      </c>
      <c r="Q296" s="108"/>
      <c r="R296" s="108"/>
      <c r="S296" s="7" t="s">
        <v>171</v>
      </c>
      <c r="T296" s="6" t="s">
        <v>3418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2940</v>
      </c>
      <c r="BH296" s="110">
        <v>0</v>
      </c>
      <c r="BI296" s="110" t="s">
        <v>2940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2929</v>
      </c>
      <c r="B297" s="3" t="s">
        <v>3419</v>
      </c>
      <c r="C297" s="9">
        <v>435785</v>
      </c>
      <c r="D297" s="9" t="s">
        <v>2931</v>
      </c>
      <c r="E297" s="9" t="s">
        <v>20</v>
      </c>
      <c r="F297" s="6" t="s">
        <v>2932</v>
      </c>
      <c r="G297" s="7" t="e">
        <f t="shared" ca="1" si="4"/>
        <v>#NAME?</v>
      </c>
      <c r="H297" s="8" t="s">
        <v>125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127</v>
      </c>
      <c r="T297" s="6" t="s">
        <v>3420</v>
      </c>
      <c r="U297" s="6" t="s">
        <v>66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2940</v>
      </c>
      <c r="BH297" s="110">
        <v>0</v>
      </c>
      <c r="BI297" s="110" t="s">
        <v>2940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2929</v>
      </c>
      <c r="B298" s="37" t="s">
        <v>3421</v>
      </c>
      <c r="C298" s="9">
        <v>344424</v>
      </c>
      <c r="D298" s="9" t="s">
        <v>19</v>
      </c>
      <c r="E298" s="9" t="s">
        <v>20</v>
      </c>
      <c r="F298" s="6" t="s">
        <v>791</v>
      </c>
      <c r="G298" s="7" t="e">
        <f t="shared" ca="1" si="4"/>
        <v>#NAME?</v>
      </c>
      <c r="H298" s="8" t="s">
        <v>145</v>
      </c>
      <c r="I298" s="24" t="s">
        <v>146</v>
      </c>
      <c r="J298" s="9" t="str">
        <f t="shared" si="3"/>
        <v>Sim</v>
      </c>
      <c r="K298" s="107">
        <v>45019</v>
      </c>
      <c r="L298" s="107"/>
      <c r="M298" s="6" t="s">
        <v>333</v>
      </c>
      <c r="N298" s="10">
        <v>0.02</v>
      </c>
      <c r="O298" s="9" t="s">
        <v>39</v>
      </c>
      <c r="P298" s="234">
        <v>0.2</v>
      </c>
      <c r="Q298" s="108" t="s">
        <v>3422</v>
      </c>
      <c r="R298" s="108"/>
      <c r="S298" s="7" t="s">
        <v>127</v>
      </c>
      <c r="T298" s="6" t="s">
        <v>3423</v>
      </c>
      <c r="U298" s="6" t="s">
        <v>66</v>
      </c>
      <c r="V298" s="24" t="e">
        <f t="shared" ca="1" si="5"/>
        <v>#NAME?</v>
      </c>
      <c r="W298" s="24"/>
      <c r="X298" s="24"/>
      <c r="Y298" s="6" t="s">
        <v>240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2940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2929</v>
      </c>
      <c r="B299" s="37" t="s">
        <v>3424</v>
      </c>
      <c r="C299" s="9">
        <v>259113</v>
      </c>
      <c r="D299" s="9" t="s">
        <v>2931</v>
      </c>
      <c r="E299" s="9" t="s">
        <v>20</v>
      </c>
      <c r="F299" s="6" t="s">
        <v>2932</v>
      </c>
      <c r="G299" s="7" t="e">
        <f t="shared" ca="1" si="4"/>
        <v>#NAME?</v>
      </c>
      <c r="H299" s="8" t="s">
        <v>125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242</v>
      </c>
      <c r="N299" s="10">
        <v>0.02</v>
      </c>
      <c r="O299" s="9" t="s">
        <v>167</v>
      </c>
      <c r="P299" s="234">
        <v>0.2</v>
      </c>
      <c r="Q299" s="108"/>
      <c r="R299" s="108"/>
      <c r="S299" s="7" t="s">
        <v>171</v>
      </c>
      <c r="T299" s="6" t="s">
        <v>3425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2940</v>
      </c>
      <c r="BH299" s="110">
        <v>0</v>
      </c>
      <c r="BI299" s="110" t="s">
        <v>2940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2929</v>
      </c>
      <c r="B300" s="36" t="s">
        <v>3426</v>
      </c>
      <c r="C300" s="9">
        <v>319435</v>
      </c>
      <c r="D300" s="9" t="s">
        <v>19</v>
      </c>
      <c r="E300" s="9" t="s">
        <v>20</v>
      </c>
      <c r="F300" s="9" t="s">
        <v>184</v>
      </c>
      <c r="G300" s="7" t="e">
        <f t="shared" ca="1" si="4"/>
        <v>#NAME?</v>
      </c>
      <c r="H300" s="8" t="s">
        <v>145</v>
      </c>
      <c r="I300" s="24" t="s">
        <v>146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3427</v>
      </c>
      <c r="R300" s="108"/>
      <c r="S300" s="7" t="s">
        <v>171</v>
      </c>
      <c r="T300" s="9" t="s">
        <v>3428</v>
      </c>
      <c r="U300" s="6" t="s">
        <v>20</v>
      </c>
      <c r="V300" s="24" t="e">
        <f t="shared" ca="1" si="5"/>
        <v>#NAME?</v>
      </c>
      <c r="W300" s="24"/>
      <c r="X300" s="24"/>
      <c r="Y300" s="6" t="s">
        <v>240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2929</v>
      </c>
      <c r="B301" s="36" t="s">
        <v>3426</v>
      </c>
      <c r="C301" s="9">
        <v>577357</v>
      </c>
      <c r="D301" s="9" t="s">
        <v>19</v>
      </c>
      <c r="E301" s="9" t="s">
        <v>20</v>
      </c>
      <c r="F301" s="9" t="s">
        <v>184</v>
      </c>
      <c r="G301" s="7" t="e">
        <f t="shared" ca="1" si="4"/>
        <v>#NAME?</v>
      </c>
      <c r="H301" s="8" t="s">
        <v>145</v>
      </c>
      <c r="I301" s="24" t="s">
        <v>146</v>
      </c>
      <c r="J301" s="9" t="str">
        <f t="shared" si="3"/>
        <v>Sim</v>
      </c>
      <c r="K301" s="232">
        <v>43545</v>
      </c>
      <c r="L301" s="6"/>
      <c r="M301" s="6" t="s">
        <v>242</v>
      </c>
      <c r="N301" s="233">
        <v>0.02</v>
      </c>
      <c r="O301" s="9" t="s">
        <v>167</v>
      </c>
      <c r="P301" s="234">
        <v>0.2</v>
      </c>
      <c r="Q301" s="108" t="s">
        <v>3427</v>
      </c>
      <c r="R301" s="108"/>
      <c r="S301" s="7" t="s">
        <v>171</v>
      </c>
      <c r="T301" s="9" t="s">
        <v>3428</v>
      </c>
      <c r="U301" s="6" t="s">
        <v>20</v>
      </c>
      <c r="V301" s="24" t="e">
        <f t="shared" ca="1" si="5"/>
        <v>#NAME?</v>
      </c>
      <c r="W301" s="24"/>
      <c r="X301" s="24"/>
      <c r="Y301" s="6" t="s">
        <v>240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2929</v>
      </c>
      <c r="B302" s="37" t="s">
        <v>3429</v>
      </c>
      <c r="C302" s="9">
        <v>379728</v>
      </c>
      <c r="D302" s="9" t="s">
        <v>19</v>
      </c>
      <c r="E302" s="9" t="s">
        <v>20</v>
      </c>
      <c r="F302" s="9" t="s">
        <v>3166</v>
      </c>
      <c r="G302" s="7" t="e">
        <f t="shared" ca="1" si="4"/>
        <v>#NAME?</v>
      </c>
      <c r="H302" s="8" t="s">
        <v>134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185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127</v>
      </c>
      <c r="T302" s="6" t="s">
        <v>3430</v>
      </c>
      <c r="U302" s="6" t="s">
        <v>48</v>
      </c>
      <c r="V302" s="24" t="e">
        <f t="shared" ca="1" si="5"/>
        <v>#NAME?</v>
      </c>
      <c r="W302" s="24"/>
      <c r="X302" s="24"/>
      <c r="Y302" s="6" t="s">
        <v>240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2929</v>
      </c>
      <c r="B303" s="37" t="s">
        <v>3431</v>
      </c>
      <c r="C303" s="9">
        <v>270174</v>
      </c>
      <c r="D303" s="9" t="s">
        <v>2931</v>
      </c>
      <c r="E303" s="9" t="s">
        <v>20</v>
      </c>
      <c r="F303" s="6" t="s">
        <v>2932</v>
      </c>
      <c r="G303" s="7" t="e">
        <f t="shared" ca="1" si="4"/>
        <v>#NAME?</v>
      </c>
      <c r="H303" s="8" t="s">
        <v>125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185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127</v>
      </c>
      <c r="T303" s="6" t="s">
        <v>3432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2940</v>
      </c>
      <c r="BH303" s="110">
        <v>0</v>
      </c>
      <c r="BI303" s="110" t="s">
        <v>2940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2929</v>
      </c>
      <c r="B304" s="3" t="s">
        <v>2241</v>
      </c>
      <c r="C304" s="9">
        <v>31954</v>
      </c>
      <c r="D304" s="9" t="s">
        <v>19</v>
      </c>
      <c r="E304" s="9" t="s">
        <v>35</v>
      </c>
      <c r="F304" s="9" t="s">
        <v>199</v>
      </c>
      <c r="G304" s="7" t="e">
        <f t="shared" ca="1" si="4"/>
        <v>#NAME?</v>
      </c>
      <c r="H304" s="8" t="s">
        <v>145</v>
      </c>
      <c r="I304" s="24" t="s">
        <v>146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127</v>
      </c>
      <c r="T304" s="6" t="s">
        <v>2244</v>
      </c>
      <c r="U304" s="6" t="s">
        <v>202</v>
      </c>
      <c r="V304" s="24" t="e">
        <f t="shared" ca="1" si="5"/>
        <v>#NAME?</v>
      </c>
      <c r="W304" s="24"/>
      <c r="X304" s="24"/>
      <c r="Y304" s="6" t="s">
        <v>240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2929</v>
      </c>
      <c r="B305" s="37" t="s">
        <v>3433</v>
      </c>
      <c r="C305" s="9">
        <v>559569</v>
      </c>
      <c r="D305" s="244" t="s">
        <v>19</v>
      </c>
      <c r="E305" s="244" t="s">
        <v>35</v>
      </c>
      <c r="F305" s="244" t="s">
        <v>606</v>
      </c>
      <c r="G305" s="7" t="e">
        <f t="shared" ca="1" si="4"/>
        <v>#NAME?</v>
      </c>
      <c r="H305" s="245" t="s">
        <v>145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3434</v>
      </c>
      <c r="R305" s="108"/>
      <c r="S305" s="7" t="s">
        <v>127</v>
      </c>
      <c r="T305" s="6" t="s">
        <v>2253</v>
      </c>
      <c r="U305" s="6" t="s">
        <v>41</v>
      </c>
      <c r="V305" s="24" t="e">
        <f t="shared" ca="1" si="5"/>
        <v>#NAME?</v>
      </c>
      <c r="W305" s="24"/>
      <c r="X305" s="24"/>
      <c r="Y305" s="6" t="s">
        <v>240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2929</v>
      </c>
      <c r="B306" s="37" t="s">
        <v>3433</v>
      </c>
      <c r="C306" s="9">
        <v>33814</v>
      </c>
      <c r="D306" s="9" t="s">
        <v>19</v>
      </c>
      <c r="E306" s="9" t="s">
        <v>35</v>
      </c>
      <c r="F306" s="9" t="s">
        <v>606</v>
      </c>
      <c r="G306" s="7" t="e">
        <f t="shared" ca="1" si="4"/>
        <v>#NAME?</v>
      </c>
      <c r="H306" s="8" t="s">
        <v>134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3434</v>
      </c>
      <c r="R306" s="108"/>
      <c r="S306" s="7" t="s">
        <v>127</v>
      </c>
      <c r="T306" s="6" t="s">
        <v>2253</v>
      </c>
      <c r="U306" s="6" t="s">
        <v>41</v>
      </c>
      <c r="V306" s="24" t="e">
        <f t="shared" ca="1" si="5"/>
        <v>#NAME?</v>
      </c>
      <c r="W306" s="24"/>
      <c r="X306" s="24"/>
      <c r="Y306" s="6" t="s">
        <v>240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2929</v>
      </c>
      <c r="B307" s="37" t="s">
        <v>3433</v>
      </c>
      <c r="C307" s="9">
        <v>559582</v>
      </c>
      <c r="D307" s="9" t="s">
        <v>19</v>
      </c>
      <c r="E307" s="9" t="s">
        <v>35</v>
      </c>
      <c r="F307" s="6" t="s">
        <v>606</v>
      </c>
      <c r="G307" s="7" t="e">
        <f t="shared" ca="1" si="4"/>
        <v>#NAME?</v>
      </c>
      <c r="H307" s="8" t="s">
        <v>125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3155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127</v>
      </c>
      <c r="T307" s="6" t="s">
        <v>2253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2940</v>
      </c>
      <c r="BH307" s="110">
        <v>0</v>
      </c>
      <c r="BI307" s="110" t="s">
        <v>2940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2929</v>
      </c>
      <c r="B308" s="37" t="s">
        <v>3435</v>
      </c>
      <c r="C308" s="9">
        <v>343643</v>
      </c>
      <c r="D308" s="9" t="s">
        <v>19</v>
      </c>
      <c r="E308" s="9" t="s">
        <v>35</v>
      </c>
      <c r="F308" s="6" t="s">
        <v>2979</v>
      </c>
      <c r="G308" s="7" t="e">
        <f t="shared" ca="1" si="4"/>
        <v>#NAME?</v>
      </c>
      <c r="H308" s="8" t="s">
        <v>125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127</v>
      </c>
      <c r="T308" s="6" t="s">
        <v>3436</v>
      </c>
      <c r="U308" s="6" t="s">
        <v>3437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2929</v>
      </c>
      <c r="B309" s="37" t="s">
        <v>3438</v>
      </c>
      <c r="C309" s="9" t="s">
        <v>3439</v>
      </c>
      <c r="D309" s="9" t="s">
        <v>19</v>
      </c>
      <c r="E309" s="9" t="s">
        <v>20</v>
      </c>
      <c r="F309" s="6" t="s">
        <v>3080</v>
      </c>
      <c r="G309" s="7" t="e">
        <f t="shared" ca="1" si="4"/>
        <v>#NAME?</v>
      </c>
      <c r="H309" s="8" t="s">
        <v>125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333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127</v>
      </c>
      <c r="T309" s="6" t="s">
        <v>3440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2940</v>
      </c>
      <c r="BH309" s="110">
        <v>0</v>
      </c>
      <c r="BI309" s="110" t="s">
        <v>2940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2929</v>
      </c>
      <c r="B310" s="37" t="s">
        <v>3438</v>
      </c>
      <c r="C310" s="9">
        <v>296589</v>
      </c>
      <c r="D310" s="9" t="s">
        <v>19</v>
      </c>
      <c r="E310" s="9" t="s">
        <v>20</v>
      </c>
      <c r="F310" s="6" t="s">
        <v>184</v>
      </c>
      <c r="G310" s="7" t="e">
        <f t="shared" ca="1" si="4"/>
        <v>#NAME?</v>
      </c>
      <c r="H310" s="8" t="s">
        <v>134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185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127</v>
      </c>
      <c r="T310" s="6" t="s">
        <v>3440</v>
      </c>
      <c r="U310" s="6" t="s">
        <v>20</v>
      </c>
      <c r="V310" s="24" t="e">
        <f t="shared" ca="1" si="5"/>
        <v>#NAME?</v>
      </c>
      <c r="W310" s="24"/>
      <c r="X310" s="24"/>
      <c r="Y310" s="6" t="s">
        <v>129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2929</v>
      </c>
      <c r="B311" s="36" t="s">
        <v>3441</v>
      </c>
      <c r="C311" s="9">
        <v>376731</v>
      </c>
      <c r="D311" s="9" t="s">
        <v>19</v>
      </c>
      <c r="E311" s="9" t="s">
        <v>20</v>
      </c>
      <c r="F311" s="6" t="s">
        <v>184</v>
      </c>
      <c r="G311" s="7" t="e">
        <f t="shared" ca="1" si="4"/>
        <v>#NAME?</v>
      </c>
      <c r="H311" s="8" t="s">
        <v>134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3442</v>
      </c>
      <c r="R311" s="108"/>
      <c r="S311" s="7" t="s">
        <v>127</v>
      </c>
      <c r="T311" s="9" t="s">
        <v>3440</v>
      </c>
      <c r="U311" s="6" t="s">
        <v>20</v>
      </c>
      <c r="V311" s="24" t="e">
        <f t="shared" ca="1" si="5"/>
        <v>#NAME?</v>
      </c>
      <c r="W311" s="24"/>
      <c r="X311" s="24"/>
      <c r="Y311" s="6" t="s">
        <v>129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2929</v>
      </c>
      <c r="B312" s="36" t="s">
        <v>2268</v>
      </c>
      <c r="C312" s="9">
        <v>253486</v>
      </c>
      <c r="D312" s="9" t="s">
        <v>19</v>
      </c>
      <c r="E312" s="9" t="s">
        <v>20</v>
      </c>
      <c r="F312" s="9" t="s">
        <v>720</v>
      </c>
      <c r="G312" s="7" t="e">
        <f t="shared" ca="1" si="4"/>
        <v>#NAME?</v>
      </c>
      <c r="H312" s="8" t="s">
        <v>145</v>
      </c>
      <c r="I312" s="24" t="s">
        <v>146</v>
      </c>
      <c r="J312" s="9" t="str">
        <f t="shared" si="3"/>
        <v>Sim</v>
      </c>
      <c r="K312" s="232">
        <v>43620</v>
      </c>
      <c r="L312" s="7"/>
      <c r="M312" s="6" t="s">
        <v>185</v>
      </c>
      <c r="N312" s="10">
        <v>1.4999999999999999E-2</v>
      </c>
      <c r="O312" s="9" t="s">
        <v>25</v>
      </c>
      <c r="P312" s="234">
        <v>0</v>
      </c>
      <c r="Q312" s="108" t="s">
        <v>3443</v>
      </c>
      <c r="R312" s="108" t="s">
        <v>3023</v>
      </c>
      <c r="S312" s="7" t="s">
        <v>127</v>
      </c>
      <c r="T312" s="9" t="s">
        <v>2270</v>
      </c>
      <c r="U312" s="6" t="s">
        <v>20</v>
      </c>
      <c r="V312" s="24" t="e">
        <f t="shared" ca="1" si="5"/>
        <v>#NAME?</v>
      </c>
      <c r="W312" s="24"/>
      <c r="X312" s="24"/>
      <c r="Y312" s="6" t="s">
        <v>240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2929</v>
      </c>
      <c r="B313" s="3" t="s">
        <v>2286</v>
      </c>
      <c r="C313" s="9">
        <v>35132</v>
      </c>
      <c r="D313" s="9" t="s">
        <v>19</v>
      </c>
      <c r="E313" s="9" t="s">
        <v>35</v>
      </c>
      <c r="F313" s="9" t="s">
        <v>199</v>
      </c>
      <c r="G313" s="7" t="e">
        <f t="shared" ca="1" si="4"/>
        <v>#NAME?</v>
      </c>
      <c r="H313" s="8" t="s">
        <v>145</v>
      </c>
      <c r="I313" s="24" t="s">
        <v>146</v>
      </c>
      <c r="J313" s="9" t="str">
        <f t="shared" si="3"/>
        <v>Não</v>
      </c>
      <c r="K313" s="232">
        <v>44319</v>
      </c>
      <c r="L313" s="7"/>
      <c r="M313" s="6" t="s">
        <v>333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127</v>
      </c>
      <c r="T313" s="6" t="s">
        <v>2288</v>
      </c>
      <c r="U313" s="6" t="s">
        <v>202</v>
      </c>
      <c r="V313" s="24" t="e">
        <f t="shared" ca="1" si="5"/>
        <v>#NAME?</v>
      </c>
      <c r="W313" s="24"/>
      <c r="X313" s="24"/>
      <c r="Y313" s="6" t="s">
        <v>129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2929</v>
      </c>
      <c r="B314" s="37" t="s">
        <v>3444</v>
      </c>
      <c r="C314" s="9">
        <v>378873</v>
      </c>
      <c r="D314" s="9" t="s">
        <v>19</v>
      </c>
      <c r="E314" s="9" t="s">
        <v>20</v>
      </c>
      <c r="F314" s="9" t="s">
        <v>2963</v>
      </c>
      <c r="G314" s="7" t="e">
        <f t="shared" ca="1" si="4"/>
        <v>#NAME?</v>
      </c>
      <c r="H314" s="8" t="s">
        <v>145</v>
      </c>
      <c r="I314" s="24" t="s">
        <v>921</v>
      </c>
      <c r="J314" s="9" t="str">
        <f t="shared" si="3"/>
        <v>Não</v>
      </c>
      <c r="K314" s="232">
        <v>45013</v>
      </c>
      <c r="L314" s="7"/>
      <c r="M314" s="6" t="s">
        <v>242</v>
      </c>
      <c r="N314" s="10">
        <v>2.5000000000000001E-2</v>
      </c>
      <c r="O314" s="9" t="s">
        <v>167</v>
      </c>
      <c r="P314" s="234">
        <v>0.2</v>
      </c>
      <c r="Q314" s="108"/>
      <c r="R314" s="108"/>
      <c r="S314" s="7" t="s">
        <v>127</v>
      </c>
      <c r="T314" s="6" t="s">
        <v>3445</v>
      </c>
      <c r="U314" s="6" t="s">
        <v>878</v>
      </c>
      <c r="V314" s="24" t="e">
        <f t="shared" ca="1" si="5"/>
        <v>#NAME?</v>
      </c>
      <c r="W314" s="24"/>
      <c r="X314" s="24"/>
      <c r="Y314" s="6" t="s">
        <v>129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2929</v>
      </c>
      <c r="B315" s="37" t="s">
        <v>3444</v>
      </c>
      <c r="C315" s="9">
        <v>378997</v>
      </c>
      <c r="D315" s="9" t="s">
        <v>19</v>
      </c>
      <c r="E315" s="9" t="s">
        <v>20</v>
      </c>
      <c r="F315" s="9" t="s">
        <v>2963</v>
      </c>
      <c r="G315" s="7" t="e">
        <f t="shared" ca="1" si="4"/>
        <v>#NAME?</v>
      </c>
      <c r="H315" s="8" t="s">
        <v>145</v>
      </c>
      <c r="I315" s="24" t="s">
        <v>921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127</v>
      </c>
      <c r="T315" s="6" t="s">
        <v>3445</v>
      </c>
      <c r="U315" s="6" t="s">
        <v>878</v>
      </c>
      <c r="V315" s="24" t="e">
        <f t="shared" ca="1" si="5"/>
        <v>#NAME?</v>
      </c>
      <c r="W315" s="24"/>
      <c r="X315" s="24"/>
      <c r="Y315" s="6" t="s">
        <v>129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2929</v>
      </c>
      <c r="B316" s="3" t="s">
        <v>2305</v>
      </c>
      <c r="C316" s="9">
        <v>48619</v>
      </c>
      <c r="D316" s="9" t="s">
        <v>19</v>
      </c>
      <c r="E316" s="9" t="s">
        <v>35</v>
      </c>
      <c r="F316" s="9" t="s">
        <v>199</v>
      </c>
      <c r="G316" s="7" t="e">
        <f t="shared" ca="1" si="4"/>
        <v>#NAME?</v>
      </c>
      <c r="H316" s="8" t="s">
        <v>145</v>
      </c>
      <c r="I316" s="24" t="s">
        <v>146</v>
      </c>
      <c r="J316" s="9" t="str">
        <f t="shared" si="3"/>
        <v>Sim</v>
      </c>
      <c r="K316" s="232">
        <v>44280</v>
      </c>
      <c r="L316" s="7"/>
      <c r="M316" s="6" t="s">
        <v>185</v>
      </c>
      <c r="N316" s="10">
        <v>1.4999999999999999E-2</v>
      </c>
      <c r="O316" s="9" t="s">
        <v>39</v>
      </c>
      <c r="P316" s="234">
        <v>0.1</v>
      </c>
      <c r="Q316" s="108" t="s">
        <v>3446</v>
      </c>
      <c r="R316" s="108"/>
      <c r="S316" s="7" t="s">
        <v>127</v>
      </c>
      <c r="T316" s="6" t="s">
        <v>2308</v>
      </c>
      <c r="U316" s="6" t="s">
        <v>48</v>
      </c>
      <c r="V316" s="24" t="e">
        <f t="shared" ca="1" si="5"/>
        <v>#NAME?</v>
      </c>
      <c r="W316" s="24"/>
      <c r="X316" s="24"/>
      <c r="Y316" s="6" t="s">
        <v>129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2929</v>
      </c>
      <c r="B317" s="3" t="s">
        <v>2305</v>
      </c>
      <c r="C317" s="9">
        <v>85179</v>
      </c>
      <c r="D317" s="9" t="s">
        <v>19</v>
      </c>
      <c r="E317" s="9" t="s">
        <v>35</v>
      </c>
      <c r="F317" s="9" t="s">
        <v>199</v>
      </c>
      <c r="G317" s="7" t="e">
        <f t="shared" ca="1" si="4"/>
        <v>#NAME?</v>
      </c>
      <c r="H317" s="8" t="s">
        <v>145</v>
      </c>
      <c r="I317" s="24" t="s">
        <v>146</v>
      </c>
      <c r="J317" s="9" t="str">
        <f t="shared" si="3"/>
        <v>Não</v>
      </c>
      <c r="K317" s="25">
        <v>44382</v>
      </c>
      <c r="L317" s="7"/>
      <c r="M317" s="6" t="s">
        <v>185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3447</v>
      </c>
      <c r="S317" s="7" t="s">
        <v>127</v>
      </c>
      <c r="T317" s="6" t="s">
        <v>2308</v>
      </c>
      <c r="U317" s="6" t="s">
        <v>48</v>
      </c>
      <c r="V317" s="24" t="e">
        <f t="shared" ca="1" si="5"/>
        <v>#NAME?</v>
      </c>
      <c r="W317" s="24"/>
      <c r="X317" s="24"/>
      <c r="Y317" s="6" t="s">
        <v>240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2929</v>
      </c>
      <c r="B318" s="3" t="s">
        <v>3448</v>
      </c>
      <c r="C318" s="9">
        <v>334022</v>
      </c>
      <c r="D318" s="9" t="s">
        <v>19</v>
      </c>
      <c r="E318" s="9" t="s">
        <v>35</v>
      </c>
      <c r="F318" s="9" t="s">
        <v>250</v>
      </c>
      <c r="G318" s="7" t="e">
        <f t="shared" ca="1" si="4"/>
        <v>#NAME?</v>
      </c>
      <c r="H318" s="8" t="s">
        <v>145</v>
      </c>
      <c r="I318" s="24" t="s">
        <v>146</v>
      </c>
      <c r="J318" s="9" t="str">
        <f t="shared" si="3"/>
        <v>Não</v>
      </c>
      <c r="K318" s="25">
        <v>44389</v>
      </c>
      <c r="L318" s="7"/>
      <c r="M318" s="6" t="s">
        <v>185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127</v>
      </c>
      <c r="T318" s="6" t="s">
        <v>2315</v>
      </c>
      <c r="U318" s="7" t="s">
        <v>878</v>
      </c>
      <c r="V318" s="24" t="e">
        <f t="shared" ca="1" si="5"/>
        <v>#NAME?</v>
      </c>
      <c r="W318" s="24"/>
      <c r="X318" s="24"/>
      <c r="Y318" s="6" t="s">
        <v>240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2929</v>
      </c>
      <c r="B319" s="3" t="s">
        <v>3449</v>
      </c>
      <c r="C319" s="9">
        <v>338425</v>
      </c>
      <c r="D319" s="244" t="s">
        <v>19</v>
      </c>
      <c r="E319" s="244" t="s">
        <v>20</v>
      </c>
      <c r="F319" s="9" t="s">
        <v>720</v>
      </c>
      <c r="G319" s="7" t="e">
        <f t="shared" ca="1" si="4"/>
        <v>#NAME?</v>
      </c>
      <c r="H319" s="245" t="s">
        <v>145</v>
      </c>
      <c r="I319" s="24" t="s">
        <v>146</v>
      </c>
      <c r="J319" s="9" t="str">
        <f t="shared" si="3"/>
        <v>Não</v>
      </c>
      <c r="K319" s="246">
        <v>43564</v>
      </c>
      <c r="L319" s="7"/>
      <c r="M319" s="247" t="s">
        <v>333</v>
      </c>
      <c r="N319" s="248">
        <v>0.02</v>
      </c>
      <c r="O319" s="244"/>
      <c r="P319" s="249"/>
      <c r="Q319" s="45"/>
      <c r="R319" s="108" t="s">
        <v>3450</v>
      </c>
      <c r="S319" s="7" t="s">
        <v>127</v>
      </c>
      <c r="T319" s="6" t="s">
        <v>3451</v>
      </c>
      <c r="U319" s="6" t="s">
        <v>20</v>
      </c>
      <c r="V319" s="24" t="e">
        <f t="shared" ca="1" si="5"/>
        <v>#NAME?</v>
      </c>
      <c r="W319" s="24"/>
      <c r="X319" s="24"/>
      <c r="Y319" s="6" t="s">
        <v>240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2929</v>
      </c>
      <c r="B320" s="3" t="s">
        <v>3452</v>
      </c>
      <c r="C320" s="9">
        <v>450254</v>
      </c>
      <c r="D320" s="9" t="s">
        <v>2931</v>
      </c>
      <c r="E320" s="9" t="s">
        <v>20</v>
      </c>
      <c r="F320" s="9" t="s">
        <v>2932</v>
      </c>
      <c r="G320" s="7" t="e">
        <f t="shared" ca="1" si="4"/>
        <v>#NAME?</v>
      </c>
      <c r="H320" s="8" t="s">
        <v>145</v>
      </c>
      <c r="I320" s="24" t="s">
        <v>146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127</v>
      </c>
      <c r="T320" s="6" t="s">
        <v>3453</v>
      </c>
      <c r="U320" s="6" t="s">
        <v>20</v>
      </c>
      <c r="V320" s="24" t="e">
        <f t="shared" ca="1" si="5"/>
        <v>#NAME?</v>
      </c>
      <c r="W320" s="24"/>
      <c r="X320" s="24"/>
      <c r="Y320" s="6" t="s">
        <v>240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2929</v>
      </c>
      <c r="B321" s="3" t="s">
        <v>3454</v>
      </c>
      <c r="C321" s="9">
        <v>49251</v>
      </c>
      <c r="D321" s="9" t="s">
        <v>19</v>
      </c>
      <c r="E321" s="9" t="s">
        <v>35</v>
      </c>
      <c r="F321" s="6" t="s">
        <v>250</v>
      </c>
      <c r="G321" s="7" t="e">
        <f t="shared" ca="1" si="4"/>
        <v>#NAME?</v>
      </c>
      <c r="H321" s="8" t="s">
        <v>125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185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127</v>
      </c>
      <c r="T321" s="6" t="s">
        <v>3455</v>
      </c>
      <c r="U321" s="6" t="s">
        <v>202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2940</v>
      </c>
      <c r="BH321" s="110">
        <v>0</v>
      </c>
      <c r="BI321" s="110" t="s">
        <v>2940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2929</v>
      </c>
      <c r="B322" s="37" t="s">
        <v>3456</v>
      </c>
      <c r="C322" s="9">
        <v>424800</v>
      </c>
      <c r="D322" s="9" t="s">
        <v>2931</v>
      </c>
      <c r="E322" s="9" t="s">
        <v>20</v>
      </c>
      <c r="F322" s="6" t="s">
        <v>2932</v>
      </c>
      <c r="G322" s="7" t="e">
        <f t="shared" ca="1" si="4"/>
        <v>#NAME?</v>
      </c>
      <c r="H322" s="8" t="s">
        <v>125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185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127</v>
      </c>
      <c r="T322" s="6" t="s">
        <v>3457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2940</v>
      </c>
      <c r="BH322" s="110">
        <v>0</v>
      </c>
      <c r="BI322" s="110" t="s">
        <v>2940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2929</v>
      </c>
      <c r="B323" s="37" t="s">
        <v>2357</v>
      </c>
      <c r="C323" s="9">
        <v>362762</v>
      </c>
      <c r="D323" s="9" t="s">
        <v>19</v>
      </c>
      <c r="E323" s="9" t="s">
        <v>35</v>
      </c>
      <c r="F323" s="6" t="s">
        <v>199</v>
      </c>
      <c r="G323" s="7" t="e">
        <f t="shared" ca="1" si="4"/>
        <v>#NAME?</v>
      </c>
      <c r="H323" s="8" t="s">
        <v>145</v>
      </c>
      <c r="I323" s="24" t="s">
        <v>146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127</v>
      </c>
      <c r="T323" s="6" t="s">
        <v>2359</v>
      </c>
      <c r="U323" s="6" t="s">
        <v>202</v>
      </c>
      <c r="V323" s="24" t="e">
        <f t="shared" ca="1" si="5"/>
        <v>#NAME?</v>
      </c>
      <c r="W323" s="24"/>
      <c r="X323" s="24"/>
      <c r="Y323" s="6" t="s">
        <v>240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2929</v>
      </c>
      <c r="B324" s="106" t="s">
        <v>3458</v>
      </c>
      <c r="C324" s="9">
        <v>45860</v>
      </c>
      <c r="D324" s="9" t="s">
        <v>19</v>
      </c>
      <c r="E324" s="9" t="s">
        <v>35</v>
      </c>
      <c r="F324" s="9" t="s">
        <v>250</v>
      </c>
      <c r="G324" s="7" t="e">
        <f t="shared" ca="1" si="4"/>
        <v>#NAME?</v>
      </c>
      <c r="H324" s="8" t="s">
        <v>145</v>
      </c>
      <c r="I324" s="24" t="s">
        <v>146</v>
      </c>
      <c r="J324" s="9" t="str">
        <f t="shared" si="3"/>
        <v>Não</v>
      </c>
      <c r="K324" s="232">
        <v>44279</v>
      </c>
      <c r="L324" s="7"/>
      <c r="M324" s="6" t="s">
        <v>185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127</v>
      </c>
      <c r="T324" s="9" t="s">
        <v>3459</v>
      </c>
      <c r="U324" s="6" t="s">
        <v>202</v>
      </c>
      <c r="V324" s="24" t="e">
        <f t="shared" ca="1" si="5"/>
        <v>#NAME?</v>
      </c>
      <c r="W324" s="24"/>
      <c r="X324" s="24"/>
      <c r="Y324" s="6" t="s">
        <v>240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2940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2929</v>
      </c>
      <c r="B325" s="37" t="s">
        <v>3460</v>
      </c>
      <c r="C325" s="9">
        <v>39176</v>
      </c>
      <c r="D325" s="9" t="s">
        <v>2931</v>
      </c>
      <c r="E325" s="9" t="s">
        <v>20</v>
      </c>
      <c r="F325" s="6" t="s">
        <v>2938</v>
      </c>
      <c r="G325" s="7" t="e">
        <f t="shared" ca="1" si="4"/>
        <v>#NAME?</v>
      </c>
      <c r="H325" s="8" t="s">
        <v>125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185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127</v>
      </c>
      <c r="T325" s="6" t="s">
        <v>3461</v>
      </c>
      <c r="U325" s="6" t="s">
        <v>20</v>
      </c>
      <c r="V325" s="24" t="e">
        <f t="shared" ca="1" si="5"/>
        <v>#NAME?</v>
      </c>
      <c r="W325" s="24"/>
      <c r="X325" s="24"/>
      <c r="Y325" s="6" t="s">
        <v>240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2929</v>
      </c>
      <c r="B326" s="37" t="s">
        <v>3462</v>
      </c>
      <c r="C326" s="9">
        <v>445568</v>
      </c>
      <c r="D326" s="9" t="s">
        <v>2931</v>
      </c>
      <c r="E326" s="9" t="s">
        <v>20</v>
      </c>
      <c r="F326" s="6" t="s">
        <v>2932</v>
      </c>
      <c r="G326" s="7" t="e">
        <f t="shared" ca="1" si="4"/>
        <v>#NAME?</v>
      </c>
      <c r="H326" s="8" t="s">
        <v>125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127</v>
      </c>
      <c r="T326" s="6" t="s">
        <v>3087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2940</v>
      </c>
      <c r="BH326" s="110">
        <v>0</v>
      </c>
      <c r="BI326" s="110" t="s">
        <v>2940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2929</v>
      </c>
      <c r="B327" s="3" t="s">
        <v>3463</v>
      </c>
      <c r="C327" s="9">
        <v>445690</v>
      </c>
      <c r="D327" s="9" t="s">
        <v>2931</v>
      </c>
      <c r="E327" s="9" t="s">
        <v>20</v>
      </c>
      <c r="F327" s="9" t="s">
        <v>2932</v>
      </c>
      <c r="G327" s="7" t="e">
        <f t="shared" ca="1" si="4"/>
        <v>#NAME?</v>
      </c>
      <c r="H327" s="8" t="s">
        <v>134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3464</v>
      </c>
      <c r="S327" s="7" t="s">
        <v>127</v>
      </c>
      <c r="T327" s="6" t="s">
        <v>3465</v>
      </c>
      <c r="U327" s="6" t="s">
        <v>20</v>
      </c>
      <c r="V327" s="24" t="e">
        <f t="shared" ca="1" si="5"/>
        <v>#NAME?</v>
      </c>
      <c r="W327" s="24"/>
      <c r="X327" s="24"/>
      <c r="Y327" s="6" t="s">
        <v>240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2929</v>
      </c>
      <c r="B328" s="36" t="s">
        <v>3466</v>
      </c>
      <c r="C328" s="9">
        <v>86748</v>
      </c>
      <c r="D328" s="9" t="s">
        <v>2997</v>
      </c>
      <c r="E328" s="9" t="s">
        <v>20</v>
      </c>
      <c r="F328" s="9" t="s">
        <v>2997</v>
      </c>
      <c r="G328" s="7" t="e">
        <f t="shared" ca="1" si="4"/>
        <v>#NAME?</v>
      </c>
      <c r="H328" s="8" t="s">
        <v>134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242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127</v>
      </c>
      <c r="T328" s="9" t="s">
        <v>3467</v>
      </c>
      <c r="U328" s="6" t="s">
        <v>20</v>
      </c>
      <c r="V328" s="24" t="e">
        <f t="shared" ca="1" si="5"/>
        <v>#NAME?</v>
      </c>
      <c r="W328" s="24"/>
      <c r="X328" s="24"/>
      <c r="Y328" s="6" t="s">
        <v>240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2929</v>
      </c>
      <c r="B329" s="3" t="s">
        <v>3468</v>
      </c>
      <c r="C329" s="9">
        <v>446896</v>
      </c>
      <c r="D329" s="9" t="s">
        <v>2931</v>
      </c>
      <c r="E329" s="9" t="s">
        <v>20</v>
      </c>
      <c r="F329" s="6" t="s">
        <v>2938</v>
      </c>
      <c r="G329" s="7" t="e">
        <f t="shared" ca="1" si="4"/>
        <v>#NAME?</v>
      </c>
      <c r="H329" s="8" t="s">
        <v>125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127</v>
      </c>
      <c r="T329" s="6" t="s">
        <v>3469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2940</v>
      </c>
      <c r="BH329" s="110">
        <v>0</v>
      </c>
      <c r="BI329" s="110" t="s">
        <v>2940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2929</v>
      </c>
      <c r="B330" s="3" t="s">
        <v>2395</v>
      </c>
      <c r="C330" s="9">
        <v>582189</v>
      </c>
      <c r="D330" s="9" t="s">
        <v>19</v>
      </c>
      <c r="E330" s="9" t="s">
        <v>35</v>
      </c>
      <c r="F330" s="9" t="s">
        <v>199</v>
      </c>
      <c r="G330" s="7" t="e">
        <f t="shared" ca="1" si="4"/>
        <v>#NAME?</v>
      </c>
      <c r="H330" s="8" t="s">
        <v>145</v>
      </c>
      <c r="I330" s="24" t="s">
        <v>146</v>
      </c>
      <c r="J330" s="9" t="str">
        <f t="shared" si="3"/>
        <v>Não</v>
      </c>
      <c r="K330" s="232">
        <v>44321</v>
      </c>
      <c r="L330" s="7"/>
      <c r="M330" s="6" t="s">
        <v>185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127</v>
      </c>
      <c r="T330" s="6" t="s">
        <v>2398</v>
      </c>
      <c r="U330" s="6" t="s">
        <v>202</v>
      </c>
      <c r="V330" s="24" t="e">
        <f t="shared" ca="1" si="5"/>
        <v>#NAME?</v>
      </c>
      <c r="W330" s="24"/>
      <c r="X330" s="24"/>
      <c r="Y330" s="6" t="s">
        <v>240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2929</v>
      </c>
      <c r="B331" s="3" t="s">
        <v>3470</v>
      </c>
      <c r="C331" s="9">
        <v>32725</v>
      </c>
      <c r="D331" s="9" t="s">
        <v>19</v>
      </c>
      <c r="E331" s="9" t="s">
        <v>35</v>
      </c>
      <c r="F331" s="9" t="s">
        <v>199</v>
      </c>
      <c r="G331" s="7" t="e">
        <f t="shared" ca="1" si="4"/>
        <v>#NAME?</v>
      </c>
      <c r="H331" s="8" t="s">
        <v>125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185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127</v>
      </c>
      <c r="T331" s="6" t="s">
        <v>3471</v>
      </c>
      <c r="U331" s="6" t="s">
        <v>202</v>
      </c>
      <c r="V331" s="24" t="e">
        <f t="shared" ca="1" si="5"/>
        <v>#NAME?</v>
      </c>
      <c r="W331" s="24"/>
      <c r="X331" s="24"/>
      <c r="Y331" s="6" t="s">
        <v>240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2929</v>
      </c>
      <c r="B332" s="3" t="s">
        <v>3472</v>
      </c>
      <c r="C332" s="9">
        <v>34745</v>
      </c>
      <c r="D332" s="9" t="s">
        <v>19</v>
      </c>
      <c r="E332" s="9" t="s">
        <v>35</v>
      </c>
      <c r="F332" s="9" t="s">
        <v>250</v>
      </c>
      <c r="G332" s="7" t="e">
        <f t="shared" ca="1" si="4"/>
        <v>#NAME?</v>
      </c>
      <c r="H332" s="8" t="s">
        <v>145</v>
      </c>
      <c r="I332" s="24" t="s">
        <v>146</v>
      </c>
      <c r="J332" s="9" t="str">
        <f t="shared" si="3"/>
        <v>Não</v>
      </c>
      <c r="K332" s="232">
        <v>44319</v>
      </c>
      <c r="L332" s="7"/>
      <c r="M332" s="6" t="s">
        <v>185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3473</v>
      </c>
      <c r="S332" s="7" t="s">
        <v>127</v>
      </c>
      <c r="T332" s="6" t="s">
        <v>2413</v>
      </c>
      <c r="U332" s="6" t="s">
        <v>202</v>
      </c>
      <c r="V332" s="24" t="e">
        <f t="shared" ca="1" si="5"/>
        <v>#NAME?</v>
      </c>
      <c r="W332" s="24"/>
      <c r="X332" s="24"/>
      <c r="Y332" s="6" t="s">
        <v>240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2929</v>
      </c>
      <c r="B333" s="37" t="s">
        <v>2417</v>
      </c>
      <c r="C333" s="9">
        <v>453470</v>
      </c>
      <c r="D333" s="9" t="s">
        <v>19</v>
      </c>
      <c r="E333" s="9" t="s">
        <v>35</v>
      </c>
      <c r="F333" s="9" t="s">
        <v>250</v>
      </c>
      <c r="G333" s="7" t="e">
        <f t="shared" ca="1" si="4"/>
        <v>#NAME?</v>
      </c>
      <c r="H333" s="8" t="s">
        <v>145</v>
      </c>
      <c r="I333" s="24" t="s">
        <v>146</v>
      </c>
      <c r="J333" s="9" t="str">
        <f t="shared" si="3"/>
        <v>Não</v>
      </c>
      <c r="K333" s="25">
        <v>44462</v>
      </c>
      <c r="L333" s="7"/>
      <c r="M333" s="6" t="s">
        <v>242</v>
      </c>
      <c r="N333" s="10">
        <v>2.5000000000000001E-2</v>
      </c>
      <c r="O333" s="9" t="s">
        <v>167</v>
      </c>
      <c r="P333" s="234">
        <v>0.2</v>
      </c>
      <c r="Q333" s="23"/>
      <c r="R333" s="28" t="s">
        <v>3474</v>
      </c>
      <c r="S333" s="7" t="s">
        <v>127</v>
      </c>
      <c r="T333" s="6" t="s">
        <v>2420</v>
      </c>
      <c r="U333" s="7" t="s">
        <v>972</v>
      </c>
      <c r="V333" s="24" t="e">
        <f t="shared" ca="1" si="5"/>
        <v>#NAME?</v>
      </c>
      <c r="W333" s="24"/>
      <c r="X333" s="24"/>
      <c r="Y333" s="6" t="s">
        <v>240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2929</v>
      </c>
      <c r="B334" s="266" t="s">
        <v>3475</v>
      </c>
      <c r="C334" s="9">
        <v>424158</v>
      </c>
      <c r="D334" s="9" t="s">
        <v>2931</v>
      </c>
      <c r="E334" s="9" t="s">
        <v>20</v>
      </c>
      <c r="F334" s="267" t="s">
        <v>2932</v>
      </c>
      <c r="G334" s="7" t="e">
        <f t="shared" ca="1" si="4"/>
        <v>#NAME?</v>
      </c>
      <c r="H334" s="8" t="s">
        <v>145</v>
      </c>
      <c r="I334" s="24" t="s">
        <v>146</v>
      </c>
      <c r="J334" s="9" t="str">
        <f t="shared" si="3"/>
        <v>Sim</v>
      </c>
      <c r="K334" s="268">
        <v>43675</v>
      </c>
      <c r="L334" s="267"/>
      <c r="M334" s="6" t="s">
        <v>185</v>
      </c>
      <c r="N334" s="269">
        <v>0.01</v>
      </c>
      <c r="O334" s="9" t="s">
        <v>39</v>
      </c>
      <c r="P334" s="234">
        <v>0.1</v>
      </c>
      <c r="Q334" s="270" t="s">
        <v>2955</v>
      </c>
      <c r="R334" s="23"/>
      <c r="S334" s="7" t="s">
        <v>127</v>
      </c>
      <c r="T334" s="267" t="s">
        <v>3476</v>
      </c>
      <c r="U334" s="267" t="s">
        <v>20</v>
      </c>
      <c r="V334" s="24" t="e">
        <f t="shared" ca="1" si="5"/>
        <v>#NAME?</v>
      </c>
      <c r="W334" s="24"/>
      <c r="X334" s="24"/>
      <c r="Y334" s="6" t="s">
        <v>240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2940</v>
      </c>
      <c r="BH334" s="237">
        <v>0</v>
      </c>
      <c r="BI334" s="237" t="s">
        <v>2940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2929</v>
      </c>
      <c r="B335" s="266" t="s">
        <v>3477</v>
      </c>
      <c r="C335" s="9">
        <v>343714</v>
      </c>
      <c r="D335" s="9" t="s">
        <v>46</v>
      </c>
      <c r="E335" s="9" t="s">
        <v>20</v>
      </c>
      <c r="F335" s="267" t="s">
        <v>3478</v>
      </c>
      <c r="G335" s="7" t="e">
        <f t="shared" ca="1" si="4"/>
        <v>#NAME?</v>
      </c>
      <c r="H335" s="8" t="s">
        <v>145</v>
      </c>
      <c r="I335" s="24" t="s">
        <v>146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127</v>
      </c>
      <c r="T335" s="267" t="s">
        <v>3479</v>
      </c>
      <c r="U335" s="267"/>
      <c r="V335" s="24" t="e">
        <f t="shared" ca="1" si="5"/>
        <v>#NAME?</v>
      </c>
      <c r="W335" s="24"/>
      <c r="X335" s="24"/>
      <c r="Y335" s="6" t="s">
        <v>240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2940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2929</v>
      </c>
      <c r="B336" s="3" t="s">
        <v>3480</v>
      </c>
      <c r="C336" s="9">
        <v>466217</v>
      </c>
      <c r="D336" s="9" t="s">
        <v>19</v>
      </c>
      <c r="E336" s="9" t="s">
        <v>35</v>
      </c>
      <c r="F336" s="6" t="s">
        <v>199</v>
      </c>
      <c r="G336" s="7" t="e">
        <f t="shared" ca="1" si="4"/>
        <v>#NAME?</v>
      </c>
      <c r="H336" s="8" t="s">
        <v>125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185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171</v>
      </c>
      <c r="T336" s="6" t="s">
        <v>3481</v>
      </c>
      <c r="U336" s="6" t="s">
        <v>202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2940</v>
      </c>
      <c r="BH336" s="110">
        <v>0</v>
      </c>
      <c r="BI336" s="110" t="s">
        <v>2940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2929</v>
      </c>
      <c r="B337" s="3" t="s">
        <v>3482</v>
      </c>
      <c r="C337" s="9">
        <v>459540</v>
      </c>
      <c r="D337" s="9" t="s">
        <v>19</v>
      </c>
      <c r="E337" s="9" t="s">
        <v>35</v>
      </c>
      <c r="F337" s="9" t="s">
        <v>250</v>
      </c>
      <c r="G337" s="7" t="e">
        <f t="shared" ca="1" si="4"/>
        <v>#NAME?</v>
      </c>
      <c r="H337" s="8" t="s">
        <v>145</v>
      </c>
      <c r="I337" s="24" t="s">
        <v>146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3163</v>
      </c>
      <c r="S337" s="7" t="s">
        <v>171</v>
      </c>
      <c r="T337" s="6" t="s">
        <v>3483</v>
      </c>
      <c r="U337" s="6" t="s">
        <v>202</v>
      </c>
      <c r="V337" s="24" t="e">
        <f t="shared" ca="1" si="5"/>
        <v>#NAME?</v>
      </c>
      <c r="W337" s="24"/>
      <c r="X337" s="24"/>
      <c r="Y337" s="6" t="s">
        <v>240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2929</v>
      </c>
      <c r="B338" s="37" t="s">
        <v>3484</v>
      </c>
      <c r="C338" s="9">
        <v>34113</v>
      </c>
      <c r="D338" s="9" t="s">
        <v>19</v>
      </c>
      <c r="E338" s="9" t="s">
        <v>35</v>
      </c>
      <c r="F338" s="6" t="s">
        <v>199</v>
      </c>
      <c r="G338" s="7" t="e">
        <f t="shared" ca="1" si="4"/>
        <v>#NAME?</v>
      </c>
      <c r="H338" s="8" t="s">
        <v>134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242</v>
      </c>
      <c r="N338" s="233">
        <v>2.5000000000000001E-2</v>
      </c>
      <c r="O338" s="9" t="s">
        <v>167</v>
      </c>
      <c r="P338" s="234">
        <v>0.2</v>
      </c>
      <c r="Q338" s="108"/>
      <c r="R338" s="108"/>
      <c r="S338" s="7" t="s">
        <v>127</v>
      </c>
      <c r="T338" s="6" t="s">
        <v>3485</v>
      </c>
      <c r="U338" s="6" t="s">
        <v>202</v>
      </c>
      <c r="V338" s="24" t="e">
        <f t="shared" ca="1" si="5"/>
        <v>#NAME?</v>
      </c>
      <c r="W338" s="24"/>
      <c r="X338" s="24"/>
      <c r="Y338" s="6" t="s">
        <v>240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2929</v>
      </c>
      <c r="B339" s="37" t="s">
        <v>3484</v>
      </c>
      <c r="C339" s="9">
        <v>32948</v>
      </c>
      <c r="D339" s="9" t="s">
        <v>19</v>
      </c>
      <c r="E339" s="9" t="s">
        <v>35</v>
      </c>
      <c r="F339" s="6" t="s">
        <v>199</v>
      </c>
      <c r="G339" s="7" t="e">
        <f t="shared" ca="1" si="4"/>
        <v>#NAME?</v>
      </c>
      <c r="H339" s="8" t="s">
        <v>134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127</v>
      </c>
      <c r="T339" s="6" t="s">
        <v>3485</v>
      </c>
      <c r="U339" s="6" t="s">
        <v>202</v>
      </c>
      <c r="V339" s="24" t="e">
        <f t="shared" ca="1" si="5"/>
        <v>#NAME?</v>
      </c>
      <c r="W339" s="24"/>
      <c r="X339" s="24"/>
      <c r="Y339" s="6" t="s">
        <v>240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2929</v>
      </c>
      <c r="B340" s="3" t="s">
        <v>3484</v>
      </c>
      <c r="C340" s="9">
        <v>738272</v>
      </c>
      <c r="D340" s="9" t="s">
        <v>19</v>
      </c>
      <c r="E340" s="9" t="s">
        <v>35</v>
      </c>
      <c r="F340" s="6" t="s">
        <v>199</v>
      </c>
      <c r="G340" s="7" t="e">
        <f t="shared" ca="1" si="4"/>
        <v>#NAME?</v>
      </c>
      <c r="H340" s="8" t="s">
        <v>134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454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3486</v>
      </c>
      <c r="S340" s="7" t="s">
        <v>127</v>
      </c>
      <c r="T340" s="6" t="s">
        <v>3485</v>
      </c>
      <c r="U340" s="6" t="s">
        <v>202</v>
      </c>
      <c r="V340" s="24" t="e">
        <f t="shared" ca="1" si="5"/>
        <v>#NAME?</v>
      </c>
      <c r="W340" s="24"/>
      <c r="X340" s="24"/>
      <c r="Y340" s="6" t="s">
        <v>240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2929</v>
      </c>
      <c r="B341" s="37" t="s">
        <v>3487</v>
      </c>
      <c r="C341" s="9">
        <v>34048</v>
      </c>
      <c r="D341" s="9" t="s">
        <v>2931</v>
      </c>
      <c r="E341" s="9" t="s">
        <v>20</v>
      </c>
      <c r="F341" s="6" t="s">
        <v>2938</v>
      </c>
      <c r="G341" s="7" t="e">
        <f t="shared" ca="1" si="4"/>
        <v>#NAME?</v>
      </c>
      <c r="H341" s="8" t="s">
        <v>125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185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127</v>
      </c>
      <c r="T341" s="6" t="s">
        <v>3488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2940</v>
      </c>
      <c r="BH341" s="110">
        <v>0</v>
      </c>
      <c r="BI341" s="110" t="s">
        <v>2940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2929</v>
      </c>
      <c r="B342" s="37" t="s">
        <v>2457</v>
      </c>
      <c r="C342" s="9">
        <v>32311</v>
      </c>
      <c r="D342" s="9" t="s">
        <v>19</v>
      </c>
      <c r="E342" s="9" t="s">
        <v>35</v>
      </c>
      <c r="F342" s="9" t="s">
        <v>199</v>
      </c>
      <c r="G342" s="7" t="e">
        <f t="shared" ca="1" si="4"/>
        <v>#NAME?</v>
      </c>
      <c r="H342" s="8" t="s">
        <v>145</v>
      </c>
      <c r="I342" s="24" t="s">
        <v>146</v>
      </c>
      <c r="J342" s="9" t="str">
        <f t="shared" si="3"/>
        <v>Não</v>
      </c>
      <c r="K342" s="232">
        <v>44595</v>
      </c>
      <c r="L342" s="7"/>
      <c r="M342" s="6" t="s">
        <v>185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3489</v>
      </c>
      <c r="S342" s="7" t="s">
        <v>127</v>
      </c>
      <c r="T342" s="6" t="s">
        <v>2459</v>
      </c>
      <c r="U342" s="6" t="s">
        <v>202</v>
      </c>
      <c r="V342" s="24" t="e">
        <f t="shared" ca="1" si="5"/>
        <v>#NAME?</v>
      </c>
      <c r="W342" s="24"/>
      <c r="X342" s="24"/>
      <c r="Y342" s="6" t="s">
        <v>240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2929</v>
      </c>
      <c r="B343" s="37" t="s">
        <v>2457</v>
      </c>
      <c r="C343" s="9">
        <v>476032</v>
      </c>
      <c r="D343" s="9" t="s">
        <v>19</v>
      </c>
      <c r="E343" s="9" t="s">
        <v>35</v>
      </c>
      <c r="F343" s="9" t="s">
        <v>199</v>
      </c>
      <c r="G343" s="7" t="e">
        <f t="shared" ca="1" si="4"/>
        <v>#NAME?</v>
      </c>
      <c r="H343" s="8" t="s">
        <v>145</v>
      </c>
      <c r="I343" s="24" t="s">
        <v>146</v>
      </c>
      <c r="J343" s="9" t="str">
        <f t="shared" si="3"/>
        <v>Não</v>
      </c>
      <c r="K343" s="9"/>
      <c r="L343" s="7"/>
      <c r="M343" s="7" t="s">
        <v>3155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127</v>
      </c>
      <c r="T343" s="6" t="s">
        <v>2459</v>
      </c>
      <c r="U343" s="6" t="s">
        <v>202</v>
      </c>
      <c r="V343" s="24" t="e">
        <f t="shared" ca="1" si="5"/>
        <v>#NAME?</v>
      </c>
      <c r="W343" s="24"/>
      <c r="X343" s="24"/>
      <c r="Y343" s="6" t="s">
        <v>129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2940</v>
      </c>
      <c r="BH343" s="237">
        <v>0</v>
      </c>
      <c r="BI343" s="237" t="s">
        <v>2940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2929</v>
      </c>
      <c r="B344" s="3" t="s">
        <v>3490</v>
      </c>
      <c r="C344" s="9">
        <v>456920</v>
      </c>
      <c r="D344" s="9" t="s">
        <v>2997</v>
      </c>
      <c r="E344" s="9" t="s">
        <v>20</v>
      </c>
      <c r="F344" s="6" t="s">
        <v>2997</v>
      </c>
      <c r="G344" s="7" t="e">
        <f t="shared" ca="1" si="4"/>
        <v>#NAME?</v>
      </c>
      <c r="H344" s="8" t="s">
        <v>125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242</v>
      </c>
      <c r="N344" s="10">
        <v>2.5000000000000001E-2</v>
      </c>
      <c r="O344" s="9" t="s">
        <v>167</v>
      </c>
      <c r="P344" s="234">
        <v>0.2</v>
      </c>
      <c r="Q344" s="108"/>
      <c r="R344" s="108"/>
      <c r="S344" s="7" t="s">
        <v>127</v>
      </c>
      <c r="T344" s="6" t="s">
        <v>3491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2940</v>
      </c>
      <c r="BH344" s="110">
        <v>0</v>
      </c>
      <c r="BI344" s="110" t="s">
        <v>2940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2929</v>
      </c>
      <c r="B345" s="3" t="s">
        <v>3492</v>
      </c>
      <c r="C345" s="9">
        <v>451228</v>
      </c>
      <c r="D345" s="9" t="s">
        <v>19</v>
      </c>
      <c r="E345" s="9" t="s">
        <v>35</v>
      </c>
      <c r="F345" s="6" t="s">
        <v>2979</v>
      </c>
      <c r="G345" s="7" t="e">
        <f t="shared" ca="1" si="4"/>
        <v>#NAME?</v>
      </c>
      <c r="H345" s="8" t="s">
        <v>125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3493</v>
      </c>
      <c r="S345" s="7" t="s">
        <v>127</v>
      </c>
      <c r="T345" s="6" t="s">
        <v>3494</v>
      </c>
      <c r="U345" s="6" t="s">
        <v>202</v>
      </c>
      <c r="V345" s="24" t="e">
        <f t="shared" ca="1" si="5"/>
        <v>#NAME?</v>
      </c>
      <c r="W345" s="24"/>
      <c r="X345" s="24"/>
      <c r="Y345" s="6" t="s">
        <v>240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2940</v>
      </c>
      <c r="BH345" s="110">
        <v>0</v>
      </c>
      <c r="BI345" s="110" t="s">
        <v>2940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2929</v>
      </c>
      <c r="B346" s="3" t="s">
        <v>2479</v>
      </c>
      <c r="C346" s="9">
        <v>32250</v>
      </c>
      <c r="D346" s="9" t="s">
        <v>19</v>
      </c>
      <c r="E346" s="9" t="s">
        <v>35</v>
      </c>
      <c r="F346" s="9" t="s">
        <v>199</v>
      </c>
      <c r="G346" s="7" t="e">
        <f t="shared" ca="1" si="4"/>
        <v>#NAME?</v>
      </c>
      <c r="H346" s="8" t="s">
        <v>145</v>
      </c>
      <c r="I346" s="24" t="s">
        <v>146</v>
      </c>
      <c r="J346" s="9" t="str">
        <f t="shared" si="3"/>
        <v>Não</v>
      </c>
      <c r="K346" s="232">
        <v>44280</v>
      </c>
      <c r="L346" s="7"/>
      <c r="M346" s="6" t="s">
        <v>333</v>
      </c>
      <c r="N346" s="10">
        <v>0.02</v>
      </c>
      <c r="O346" s="9" t="s">
        <v>39</v>
      </c>
      <c r="P346" s="234">
        <v>0.2</v>
      </c>
      <c r="Q346" s="23"/>
      <c r="R346" s="108" t="s">
        <v>3495</v>
      </c>
      <c r="S346" s="7" t="s">
        <v>127</v>
      </c>
      <c r="T346" s="6" t="s">
        <v>2481</v>
      </c>
      <c r="U346" s="6" t="s">
        <v>41</v>
      </c>
      <c r="V346" s="24" t="e">
        <f t="shared" ca="1" si="5"/>
        <v>#NAME?</v>
      </c>
      <c r="W346" s="24"/>
      <c r="X346" s="24"/>
      <c r="Y346" s="6" t="s">
        <v>240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2929</v>
      </c>
      <c r="B347" s="37" t="s">
        <v>2482</v>
      </c>
      <c r="C347" s="9">
        <v>559843</v>
      </c>
      <c r="D347" s="9" t="s">
        <v>19</v>
      </c>
      <c r="E347" s="9" t="s">
        <v>35</v>
      </c>
      <c r="F347" s="9" t="s">
        <v>250</v>
      </c>
      <c r="G347" s="7" t="e">
        <f t="shared" ca="1" si="4"/>
        <v>#NAME?</v>
      </c>
      <c r="H347" s="8" t="s">
        <v>145</v>
      </c>
      <c r="I347" s="24" t="s">
        <v>146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127</v>
      </c>
      <c r="T347" s="6" t="s">
        <v>2485</v>
      </c>
      <c r="U347" s="7" t="s">
        <v>41</v>
      </c>
      <c r="V347" s="24" t="e">
        <f t="shared" ca="1" si="5"/>
        <v>#NAME?</v>
      </c>
      <c r="W347" s="24"/>
      <c r="X347" s="24"/>
      <c r="Y347" s="6" t="s">
        <v>240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2929</v>
      </c>
      <c r="B348" s="37" t="s">
        <v>3496</v>
      </c>
      <c r="C348" s="9">
        <v>434160</v>
      </c>
      <c r="D348" s="9" t="s">
        <v>19</v>
      </c>
      <c r="E348" s="9" t="s">
        <v>35</v>
      </c>
      <c r="F348" s="9" t="s">
        <v>250</v>
      </c>
      <c r="G348" s="7" t="e">
        <f t="shared" ca="1" si="4"/>
        <v>#NAME?</v>
      </c>
      <c r="H348" s="8" t="s">
        <v>145</v>
      </c>
      <c r="I348" s="24" t="s">
        <v>146</v>
      </c>
      <c r="J348" s="9" t="str">
        <f t="shared" si="3"/>
        <v>Não</v>
      </c>
      <c r="K348" s="25">
        <v>44462</v>
      </c>
      <c r="L348" s="7"/>
      <c r="M348" s="6" t="s">
        <v>333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127</v>
      </c>
      <c r="T348" s="6" t="s">
        <v>2485</v>
      </c>
      <c r="U348" s="7" t="s">
        <v>41</v>
      </c>
      <c r="V348" s="24" t="e">
        <f t="shared" ca="1" si="5"/>
        <v>#NAME?</v>
      </c>
      <c r="W348" s="24"/>
      <c r="X348" s="24"/>
      <c r="Y348" s="6" t="s">
        <v>240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2929</v>
      </c>
      <c r="B349" s="36" t="s">
        <v>3497</v>
      </c>
      <c r="C349" s="9">
        <v>87493</v>
      </c>
      <c r="D349" s="9" t="s">
        <v>2997</v>
      </c>
      <c r="E349" s="9" t="s">
        <v>20</v>
      </c>
      <c r="F349" s="9" t="s">
        <v>2997</v>
      </c>
      <c r="G349" s="7" t="e">
        <f t="shared" ca="1" si="4"/>
        <v>#NAME?</v>
      </c>
      <c r="H349" s="8" t="s">
        <v>134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242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127</v>
      </c>
      <c r="T349" s="9" t="s">
        <v>3498</v>
      </c>
      <c r="U349" s="6" t="s">
        <v>20</v>
      </c>
      <c r="V349" s="24" t="e">
        <f t="shared" ca="1" si="5"/>
        <v>#NAME?</v>
      </c>
      <c r="W349" s="24"/>
      <c r="X349" s="24"/>
      <c r="Y349" s="6" t="s">
        <v>240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2929</v>
      </c>
      <c r="B350" s="37" t="s">
        <v>3499</v>
      </c>
      <c r="C350" s="9">
        <v>576290</v>
      </c>
      <c r="D350" s="9" t="s">
        <v>2931</v>
      </c>
      <c r="E350" s="9" t="s">
        <v>20</v>
      </c>
      <c r="F350" s="6" t="s">
        <v>2938</v>
      </c>
      <c r="G350" s="7" t="e">
        <f t="shared" ca="1" si="4"/>
        <v>#NAME?</v>
      </c>
      <c r="H350" s="8" t="s">
        <v>125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185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127</v>
      </c>
      <c r="T350" s="6" t="s">
        <v>3500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2940</v>
      </c>
      <c r="BH350" s="110">
        <v>0</v>
      </c>
      <c r="BI350" s="110" t="s">
        <v>2940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2929</v>
      </c>
      <c r="B351" s="37" t="s">
        <v>3499</v>
      </c>
      <c r="C351" s="9">
        <v>576301</v>
      </c>
      <c r="D351" s="9" t="s">
        <v>2931</v>
      </c>
      <c r="E351" s="9" t="s">
        <v>20</v>
      </c>
      <c r="F351" s="6" t="s">
        <v>2938</v>
      </c>
      <c r="G351" s="7" t="e">
        <f t="shared" ca="1" si="4"/>
        <v>#NAME?</v>
      </c>
      <c r="H351" s="8" t="s">
        <v>125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245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127</v>
      </c>
      <c r="T351" s="6" t="s">
        <v>3500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2940</v>
      </c>
      <c r="BH351" s="110">
        <v>0</v>
      </c>
      <c r="BI351" s="110" t="s">
        <v>2940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2929</v>
      </c>
      <c r="B352" s="3" t="s">
        <v>3501</v>
      </c>
      <c r="C352" s="9">
        <v>86956</v>
      </c>
      <c r="D352" s="9" t="s">
        <v>19</v>
      </c>
      <c r="E352" s="9" t="s">
        <v>35</v>
      </c>
      <c r="F352" s="9" t="s">
        <v>250</v>
      </c>
      <c r="G352" s="7" t="e">
        <f t="shared" ca="1" si="4"/>
        <v>#NAME?</v>
      </c>
      <c r="H352" s="8" t="s">
        <v>125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242</v>
      </c>
      <c r="N352" s="233">
        <v>2.5000000000000001E-2</v>
      </c>
      <c r="O352" s="9" t="s">
        <v>167</v>
      </c>
      <c r="P352" s="234">
        <v>0.2</v>
      </c>
      <c r="Q352" s="108"/>
      <c r="R352" s="108"/>
      <c r="S352" s="7" t="s">
        <v>127</v>
      </c>
      <c r="T352" s="6" t="s">
        <v>3502</v>
      </c>
      <c r="U352" s="6" t="s">
        <v>202</v>
      </c>
      <c r="V352" s="24" t="e">
        <f t="shared" ca="1" si="5"/>
        <v>#NAME?</v>
      </c>
      <c r="W352" s="24"/>
      <c r="X352" s="24"/>
      <c r="Y352" s="6" t="s">
        <v>240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2929</v>
      </c>
      <c r="B353" s="3" t="s">
        <v>3503</v>
      </c>
      <c r="C353" s="9">
        <v>465187</v>
      </c>
      <c r="D353" s="9" t="s">
        <v>2931</v>
      </c>
      <c r="E353" s="9" t="s">
        <v>20</v>
      </c>
      <c r="F353" s="6" t="s">
        <v>2932</v>
      </c>
      <c r="G353" s="7" t="e">
        <f t="shared" ca="1" si="4"/>
        <v>#NAME?</v>
      </c>
      <c r="H353" s="8" t="s">
        <v>125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185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127</v>
      </c>
      <c r="T353" s="6" t="s">
        <v>3504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2940</v>
      </c>
      <c r="BH353" s="110">
        <v>0</v>
      </c>
      <c r="BI353" s="110" t="s">
        <v>2940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2929</v>
      </c>
      <c r="B354" s="37" t="s">
        <v>3505</v>
      </c>
      <c r="C354" s="9">
        <v>577297</v>
      </c>
      <c r="D354" s="9" t="s">
        <v>19</v>
      </c>
      <c r="E354" s="9" t="s">
        <v>35</v>
      </c>
      <c r="F354" s="6" t="s">
        <v>199</v>
      </c>
      <c r="G354" s="7" t="e">
        <f t="shared" ca="1" si="4"/>
        <v>#NAME?</v>
      </c>
      <c r="H354" s="8" t="s">
        <v>125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185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127</v>
      </c>
      <c r="T354" s="6" t="s">
        <v>3506</v>
      </c>
      <c r="U354" s="6" t="s">
        <v>202</v>
      </c>
      <c r="V354" s="24" t="e">
        <f t="shared" ca="1" si="5"/>
        <v>#NAME?</v>
      </c>
      <c r="W354" s="24"/>
      <c r="X354" s="24"/>
      <c r="Y354" s="6" t="s">
        <v>240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2940</v>
      </c>
      <c r="BH354" s="110">
        <v>0</v>
      </c>
      <c r="BI354" s="110" t="s">
        <v>2940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2929</v>
      </c>
      <c r="B355" s="37" t="s">
        <v>3507</v>
      </c>
      <c r="C355" s="9">
        <v>88264</v>
      </c>
      <c r="D355" s="9" t="s">
        <v>2997</v>
      </c>
      <c r="E355" s="9" t="s">
        <v>20</v>
      </c>
      <c r="F355" s="6" t="s">
        <v>2997</v>
      </c>
      <c r="G355" s="7" t="e">
        <f t="shared" ca="1" si="4"/>
        <v>#NAME?</v>
      </c>
      <c r="H355" s="8" t="s">
        <v>125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242</v>
      </c>
      <c r="N355" s="10">
        <v>0.01</v>
      </c>
      <c r="O355" s="9" t="s">
        <v>167</v>
      </c>
      <c r="P355" s="234">
        <v>0.2</v>
      </c>
      <c r="Q355" s="108"/>
      <c r="R355" s="108"/>
      <c r="S355" s="7" t="s">
        <v>127</v>
      </c>
      <c r="T355" s="6" t="s">
        <v>3508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2940</v>
      </c>
      <c r="BH355" s="110">
        <v>0</v>
      </c>
      <c r="BI355" s="110" t="s">
        <v>2940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2929</v>
      </c>
      <c r="B356" s="37" t="s">
        <v>2541</v>
      </c>
      <c r="C356" s="9">
        <v>459393</v>
      </c>
      <c r="D356" s="9" t="s">
        <v>19</v>
      </c>
      <c r="E356" s="9" t="s">
        <v>35</v>
      </c>
      <c r="F356" s="9" t="s">
        <v>250</v>
      </c>
      <c r="G356" s="7" t="e">
        <f t="shared" ca="1" si="4"/>
        <v>#NAME?</v>
      </c>
      <c r="H356" s="8" t="s">
        <v>145</v>
      </c>
      <c r="I356" s="24" t="s">
        <v>146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127</v>
      </c>
      <c r="T356" s="6" t="s">
        <v>2543</v>
      </c>
      <c r="U356" s="6" t="s">
        <v>202</v>
      </c>
      <c r="V356" s="24" t="e">
        <f t="shared" ca="1" si="5"/>
        <v>#NAME?</v>
      </c>
      <c r="W356" s="24"/>
      <c r="X356" s="24"/>
      <c r="Y356" s="6" t="s">
        <v>240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2929</v>
      </c>
      <c r="B357" s="3" t="s">
        <v>2547</v>
      </c>
      <c r="C357" s="9">
        <v>612431</v>
      </c>
      <c r="D357" s="9" t="s">
        <v>19</v>
      </c>
      <c r="E357" s="9" t="s">
        <v>35</v>
      </c>
      <c r="F357" s="6" t="s">
        <v>199</v>
      </c>
      <c r="G357" s="7" t="e">
        <f t="shared" ca="1" si="4"/>
        <v>#NAME?</v>
      </c>
      <c r="H357" s="8" t="s">
        <v>145</v>
      </c>
      <c r="I357" s="24" t="s">
        <v>146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127</v>
      </c>
      <c r="T357" s="6" t="s">
        <v>2550</v>
      </c>
      <c r="U357" s="6" t="s">
        <v>202</v>
      </c>
      <c r="V357" s="24" t="e">
        <f t="shared" ca="1" si="5"/>
        <v>#NAME?</v>
      </c>
      <c r="W357" s="24"/>
      <c r="X357" s="24"/>
      <c r="Y357" s="6" t="s">
        <v>240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2929</v>
      </c>
      <c r="B358" s="106" t="s">
        <v>3509</v>
      </c>
      <c r="C358" s="9">
        <v>38387</v>
      </c>
      <c r="D358" s="9" t="s">
        <v>19</v>
      </c>
      <c r="E358" s="9" t="s">
        <v>35</v>
      </c>
      <c r="F358" s="9" t="s">
        <v>199</v>
      </c>
      <c r="G358" s="7" t="e">
        <f t="shared" ca="1" si="4"/>
        <v>#NAME?</v>
      </c>
      <c r="H358" s="8" t="s">
        <v>145</v>
      </c>
      <c r="I358" s="24" t="s">
        <v>146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3510</v>
      </c>
      <c r="S358" s="7" t="s">
        <v>127</v>
      </c>
      <c r="T358" s="9" t="s">
        <v>3511</v>
      </c>
      <c r="U358" s="6" t="s">
        <v>202</v>
      </c>
      <c r="V358" s="24" t="e">
        <f t="shared" ca="1" si="5"/>
        <v>#NAME?</v>
      </c>
      <c r="W358" s="24"/>
      <c r="X358" s="24"/>
      <c r="Y358" s="6" t="s">
        <v>240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2929</v>
      </c>
      <c r="B359" s="106" t="s">
        <v>3509</v>
      </c>
      <c r="C359" s="9">
        <v>85872</v>
      </c>
      <c r="D359" s="9" t="s">
        <v>19</v>
      </c>
      <c r="E359" s="9" t="s">
        <v>35</v>
      </c>
      <c r="F359" s="9" t="s">
        <v>199</v>
      </c>
      <c r="G359" s="7" t="e">
        <f t="shared" ca="1" si="4"/>
        <v>#NAME?</v>
      </c>
      <c r="H359" s="8" t="s">
        <v>145</v>
      </c>
      <c r="I359" s="24" t="s">
        <v>146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3512</v>
      </c>
      <c r="R359" s="28"/>
      <c r="S359" s="7" t="s">
        <v>127</v>
      </c>
      <c r="T359" s="9" t="s">
        <v>3511</v>
      </c>
      <c r="U359" s="6" t="s">
        <v>202</v>
      </c>
      <c r="V359" s="24" t="e">
        <f t="shared" ca="1" si="5"/>
        <v>#NAME?</v>
      </c>
      <c r="W359" s="24"/>
      <c r="X359" s="24"/>
      <c r="Y359" s="6" t="s">
        <v>240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2929</v>
      </c>
      <c r="B360" s="36" t="s">
        <v>3513</v>
      </c>
      <c r="C360" s="9">
        <v>438274</v>
      </c>
      <c r="D360" s="9" t="s">
        <v>2931</v>
      </c>
      <c r="E360" s="9" t="s">
        <v>20</v>
      </c>
      <c r="F360" s="9" t="s">
        <v>2932</v>
      </c>
      <c r="G360" s="7" t="e">
        <f t="shared" ca="1" si="4"/>
        <v>#NAME?</v>
      </c>
      <c r="H360" s="8" t="s">
        <v>145</v>
      </c>
      <c r="I360" s="24" t="s">
        <v>146</v>
      </c>
      <c r="J360" s="9" t="str">
        <f t="shared" si="6"/>
        <v>Não</v>
      </c>
      <c r="K360" s="232">
        <v>43804</v>
      </c>
      <c r="L360" s="7"/>
      <c r="M360" s="6" t="s">
        <v>185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3514</v>
      </c>
      <c r="S360" s="7" t="s">
        <v>127</v>
      </c>
      <c r="T360" s="9" t="s">
        <v>3515</v>
      </c>
      <c r="U360" s="6" t="s">
        <v>66</v>
      </c>
      <c r="V360" s="24" t="e">
        <f t="shared" ca="1" si="5"/>
        <v>#NAME?</v>
      </c>
      <c r="W360" s="24"/>
      <c r="X360" s="24"/>
      <c r="Y360" s="6" t="s">
        <v>240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2929</v>
      </c>
      <c r="B361" s="3" t="s">
        <v>3516</v>
      </c>
      <c r="C361" s="9">
        <v>435113</v>
      </c>
      <c r="D361" s="9" t="s">
        <v>2931</v>
      </c>
      <c r="E361" s="9" t="s">
        <v>20</v>
      </c>
      <c r="F361" s="6" t="s">
        <v>2932</v>
      </c>
      <c r="G361" s="7" t="e">
        <f t="shared" ca="1" si="4"/>
        <v>#NAME?</v>
      </c>
      <c r="H361" s="8" t="s">
        <v>125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185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127</v>
      </c>
      <c r="T361" s="6" t="s">
        <v>3517</v>
      </c>
      <c r="U361" s="6" t="s">
        <v>20</v>
      </c>
      <c r="V361" s="24" t="e">
        <f t="shared" ca="1" si="5"/>
        <v>#NAME?</v>
      </c>
      <c r="W361" s="24"/>
      <c r="X361" s="24"/>
      <c r="Y361" s="6" t="s">
        <v>240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2940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2929</v>
      </c>
      <c r="B362" s="36" t="s">
        <v>3518</v>
      </c>
      <c r="C362" s="9">
        <v>82133</v>
      </c>
      <c r="D362" s="9" t="s">
        <v>2997</v>
      </c>
      <c r="E362" s="9" t="s">
        <v>20</v>
      </c>
      <c r="F362" s="9" t="s">
        <v>2997</v>
      </c>
      <c r="G362" s="7" t="e">
        <f t="shared" ca="1" si="4"/>
        <v>#NAME?</v>
      </c>
      <c r="H362" s="8" t="s">
        <v>125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242</v>
      </c>
      <c r="N362" s="233">
        <v>0.01</v>
      </c>
      <c r="O362" s="9" t="s">
        <v>167</v>
      </c>
      <c r="P362" s="234">
        <v>0.2</v>
      </c>
      <c r="Q362" s="108"/>
      <c r="R362" s="108"/>
      <c r="S362" s="7" t="s">
        <v>127</v>
      </c>
      <c r="T362" s="9" t="s">
        <v>3519</v>
      </c>
      <c r="U362" s="6" t="s">
        <v>20</v>
      </c>
      <c r="V362" s="24" t="e">
        <f t="shared" ca="1" si="5"/>
        <v>#NAME?</v>
      </c>
      <c r="W362" s="24"/>
      <c r="X362" s="24"/>
      <c r="Y362" s="6" t="s">
        <v>240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2940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2929</v>
      </c>
      <c r="B363" s="3" t="s">
        <v>3520</v>
      </c>
      <c r="C363" s="9">
        <v>370249</v>
      </c>
      <c r="D363" s="9" t="s">
        <v>19</v>
      </c>
      <c r="E363" s="9" t="s">
        <v>20</v>
      </c>
      <c r="F363" s="9" t="s">
        <v>3312</v>
      </c>
      <c r="G363" s="7" t="e">
        <f t="shared" ca="1" si="4"/>
        <v>#NAME?</v>
      </c>
      <c r="H363" s="8" t="s">
        <v>125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127</v>
      </c>
      <c r="T363" s="6" t="s">
        <v>2579</v>
      </c>
      <c r="U363" s="6" t="s">
        <v>20</v>
      </c>
      <c r="V363" s="24" t="e">
        <f t="shared" ca="1" si="5"/>
        <v>#NAME?</v>
      </c>
      <c r="W363" s="24"/>
      <c r="X363" s="24"/>
      <c r="Y363" s="6" t="s">
        <v>240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2929</v>
      </c>
      <c r="B364" s="3" t="s">
        <v>2610</v>
      </c>
      <c r="C364" s="9">
        <v>81772</v>
      </c>
      <c r="D364" s="9" t="s">
        <v>19</v>
      </c>
      <c r="E364" s="9" t="s">
        <v>35</v>
      </c>
      <c r="F364" s="9" t="s">
        <v>250</v>
      </c>
      <c r="G364" s="7" t="e">
        <f t="shared" ca="1" si="4"/>
        <v>#NAME?</v>
      </c>
      <c r="H364" s="8" t="s">
        <v>145</v>
      </c>
      <c r="I364" s="24" t="s">
        <v>146</v>
      </c>
      <c r="J364" s="9" t="str">
        <f t="shared" si="6"/>
        <v>Não</v>
      </c>
      <c r="K364" s="232">
        <v>44279</v>
      </c>
      <c r="L364" s="7"/>
      <c r="M364" s="6" t="s">
        <v>333</v>
      </c>
      <c r="N364" s="233">
        <v>0.02</v>
      </c>
      <c r="O364" s="9" t="s">
        <v>39</v>
      </c>
      <c r="P364" s="234">
        <v>0.2</v>
      </c>
      <c r="Q364" s="23"/>
      <c r="R364" s="108" t="s">
        <v>3521</v>
      </c>
      <c r="S364" s="7" t="s">
        <v>127</v>
      </c>
      <c r="T364" s="6" t="s">
        <v>2612</v>
      </c>
      <c r="U364" s="6" t="s">
        <v>202</v>
      </c>
      <c r="V364" s="24" t="e">
        <f t="shared" ca="1" si="5"/>
        <v>#NAME?</v>
      </c>
      <c r="W364" s="24"/>
      <c r="X364" s="24"/>
      <c r="Y364" s="6" t="s">
        <v>129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2929</v>
      </c>
      <c r="B365" s="106" t="s">
        <v>3522</v>
      </c>
      <c r="C365" s="9">
        <v>43617</v>
      </c>
      <c r="D365" s="9" t="s">
        <v>19</v>
      </c>
      <c r="E365" s="9" t="s">
        <v>35</v>
      </c>
      <c r="F365" s="9" t="s">
        <v>199</v>
      </c>
      <c r="G365" s="7" t="e">
        <f t="shared" ca="1" si="4"/>
        <v>#NAME?</v>
      </c>
      <c r="H365" s="8" t="s">
        <v>125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185</v>
      </c>
      <c r="N365" s="233">
        <v>1.4999999999999999E-2</v>
      </c>
      <c r="O365" s="9" t="s">
        <v>39</v>
      </c>
      <c r="P365" s="234">
        <v>0.1</v>
      </c>
      <c r="Q365" s="28" t="s">
        <v>3523</v>
      </c>
      <c r="R365" s="28"/>
      <c r="S365" s="7" t="s">
        <v>171</v>
      </c>
      <c r="T365" s="9" t="s">
        <v>3524</v>
      </c>
      <c r="U365" s="7" t="s">
        <v>202</v>
      </c>
      <c r="V365" s="24" t="e">
        <f t="shared" ca="1" si="5"/>
        <v>#NAME?</v>
      </c>
      <c r="W365" s="24"/>
      <c r="X365" s="24"/>
      <c r="Y365" s="6" t="s">
        <v>240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2929</v>
      </c>
      <c r="B366" s="37" t="s">
        <v>3525</v>
      </c>
      <c r="C366" s="9">
        <v>584243</v>
      </c>
      <c r="D366" s="9" t="s">
        <v>2931</v>
      </c>
      <c r="E366" s="9" t="s">
        <v>20</v>
      </c>
      <c r="F366" s="6" t="s">
        <v>2938</v>
      </c>
      <c r="G366" s="7" t="e">
        <f t="shared" ca="1" si="4"/>
        <v>#NAME?</v>
      </c>
      <c r="H366" s="8" t="s">
        <v>125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171</v>
      </c>
      <c r="T366" s="6" t="s">
        <v>3526</v>
      </c>
      <c r="U366" s="6" t="s">
        <v>66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2940</v>
      </c>
      <c r="BH366" s="110">
        <v>0</v>
      </c>
      <c r="BI366" s="110" t="s">
        <v>2940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2929</v>
      </c>
      <c r="B367" s="37" t="s">
        <v>3525</v>
      </c>
      <c r="C367" s="9">
        <v>43312</v>
      </c>
      <c r="D367" s="9" t="s">
        <v>2931</v>
      </c>
      <c r="E367" s="9" t="s">
        <v>20</v>
      </c>
      <c r="F367" s="6" t="s">
        <v>2938</v>
      </c>
      <c r="G367" s="7" t="e">
        <f t="shared" ca="1" si="4"/>
        <v>#NAME?</v>
      </c>
      <c r="H367" s="8" t="s">
        <v>125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242</v>
      </c>
      <c r="N367" s="10">
        <v>0.02</v>
      </c>
      <c r="O367" s="9" t="s">
        <v>167</v>
      </c>
      <c r="P367" s="234">
        <v>0.2</v>
      </c>
      <c r="Q367" s="108"/>
      <c r="R367" s="108"/>
      <c r="S367" s="7" t="s">
        <v>171</v>
      </c>
      <c r="T367" s="6" t="s">
        <v>3527</v>
      </c>
      <c r="U367" s="6" t="s">
        <v>66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2940</v>
      </c>
      <c r="BH367" s="110">
        <v>0</v>
      </c>
      <c r="BI367" s="110" t="s">
        <v>2940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2929</v>
      </c>
      <c r="B368" s="3" t="s">
        <v>3528</v>
      </c>
      <c r="C368" s="9">
        <v>263535</v>
      </c>
      <c r="D368" s="9" t="s">
        <v>2931</v>
      </c>
      <c r="E368" s="9" t="s">
        <v>20</v>
      </c>
      <c r="F368" s="6" t="s">
        <v>2938</v>
      </c>
      <c r="G368" s="7" t="e">
        <f t="shared" ca="1" si="4"/>
        <v>#NAME?</v>
      </c>
      <c r="H368" s="8" t="s">
        <v>125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185</v>
      </c>
      <c r="N368" s="10">
        <v>0.01</v>
      </c>
      <c r="O368" s="9" t="s">
        <v>39</v>
      </c>
      <c r="P368" s="234">
        <v>0.1</v>
      </c>
      <c r="Q368" s="108"/>
      <c r="R368" s="108" t="s">
        <v>3529</v>
      </c>
      <c r="S368" s="7" t="s">
        <v>127</v>
      </c>
      <c r="T368" s="6" t="s">
        <v>2638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2940</v>
      </c>
      <c r="BH368" s="110">
        <v>0</v>
      </c>
      <c r="BI368" s="110" t="s">
        <v>2940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2929</v>
      </c>
      <c r="B369" s="3" t="s">
        <v>3530</v>
      </c>
      <c r="C369" s="9">
        <v>261278</v>
      </c>
      <c r="D369" s="9" t="s">
        <v>19</v>
      </c>
      <c r="E369" s="9" t="s">
        <v>35</v>
      </c>
      <c r="F369" s="9" t="s">
        <v>250</v>
      </c>
      <c r="G369" s="7" t="e">
        <f t="shared" ca="1" si="4"/>
        <v>#NAME?</v>
      </c>
      <c r="H369" s="8" t="s">
        <v>125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3531</v>
      </c>
      <c r="S369" s="7" t="s">
        <v>127</v>
      </c>
      <c r="T369" s="6" t="s">
        <v>3532</v>
      </c>
      <c r="U369" s="6" t="s">
        <v>202</v>
      </c>
      <c r="V369" s="24" t="e">
        <f t="shared" ca="1" si="5"/>
        <v>#NAME?</v>
      </c>
      <c r="W369" s="24"/>
      <c r="X369" s="24"/>
      <c r="Y369" s="6" t="s">
        <v>240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2929</v>
      </c>
      <c r="B370" s="3" t="s">
        <v>3533</v>
      </c>
      <c r="C370" s="9">
        <v>31787</v>
      </c>
      <c r="D370" s="9" t="s">
        <v>19</v>
      </c>
      <c r="E370" s="9" t="s">
        <v>35</v>
      </c>
      <c r="F370" s="9" t="s">
        <v>606</v>
      </c>
      <c r="G370" s="7" t="e">
        <f t="shared" ca="1" si="4"/>
        <v>#NAME?</v>
      </c>
      <c r="H370" s="8" t="s">
        <v>145</v>
      </c>
      <c r="I370" s="24" t="s">
        <v>146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127</v>
      </c>
      <c r="T370" s="6" t="s">
        <v>2673</v>
      </c>
      <c r="U370" s="6" t="s">
        <v>202</v>
      </c>
      <c r="V370" s="24" t="e">
        <f t="shared" ca="1" si="5"/>
        <v>#NAME?</v>
      </c>
      <c r="W370" s="24"/>
      <c r="X370" s="24"/>
      <c r="Y370" s="6" t="s">
        <v>240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2929</v>
      </c>
      <c r="B371" s="36" t="s">
        <v>3534</v>
      </c>
      <c r="C371" s="9">
        <v>86818</v>
      </c>
      <c r="D371" s="9" t="s">
        <v>2997</v>
      </c>
      <c r="E371" s="9" t="s">
        <v>20</v>
      </c>
      <c r="F371" s="9" t="s">
        <v>2997</v>
      </c>
      <c r="G371" s="7" t="e">
        <f t="shared" ca="1" si="4"/>
        <v>#NAME?</v>
      </c>
      <c r="H371" s="8" t="s">
        <v>134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242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127</v>
      </c>
      <c r="T371" s="9" t="s">
        <v>3535</v>
      </c>
      <c r="U371" s="6" t="s">
        <v>20</v>
      </c>
      <c r="V371" s="24" t="e">
        <f t="shared" ca="1" si="5"/>
        <v>#NAME?</v>
      </c>
      <c r="W371" s="24"/>
      <c r="X371" s="24"/>
      <c r="Y371" s="6" t="s">
        <v>240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2929</v>
      </c>
      <c r="B372" s="37" t="s">
        <v>3536</v>
      </c>
      <c r="C372" s="9">
        <v>82667</v>
      </c>
      <c r="D372" s="9" t="s">
        <v>2997</v>
      </c>
      <c r="E372" s="9" t="s">
        <v>20</v>
      </c>
      <c r="F372" s="6" t="s">
        <v>2997</v>
      </c>
      <c r="G372" s="7" t="e">
        <f t="shared" ca="1" si="4"/>
        <v>#NAME?</v>
      </c>
      <c r="H372" s="8" t="s">
        <v>125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242</v>
      </c>
      <c r="N372" s="10">
        <v>0.01</v>
      </c>
      <c r="O372" s="9" t="s">
        <v>167</v>
      </c>
      <c r="P372" s="234">
        <v>0.2</v>
      </c>
      <c r="Q372" s="108"/>
      <c r="R372" s="108"/>
      <c r="S372" s="7" t="s">
        <v>127</v>
      </c>
      <c r="T372" s="6" t="s">
        <v>3537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2940</v>
      </c>
      <c r="BH372" s="110">
        <v>0</v>
      </c>
      <c r="BI372" s="110" t="s">
        <v>2940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2929</v>
      </c>
      <c r="B373" s="3" t="s">
        <v>3538</v>
      </c>
      <c r="C373" s="9">
        <v>261079</v>
      </c>
      <c r="D373" s="9" t="s">
        <v>19</v>
      </c>
      <c r="E373" s="9" t="s">
        <v>35</v>
      </c>
      <c r="F373" s="9" t="s">
        <v>199</v>
      </c>
      <c r="G373" s="7" t="e">
        <f t="shared" ca="1" si="4"/>
        <v>#NAME?</v>
      </c>
      <c r="H373" s="8" t="s">
        <v>125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185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3100</v>
      </c>
      <c r="S373" s="7" t="s">
        <v>127</v>
      </c>
      <c r="T373" s="6" t="s">
        <v>3539</v>
      </c>
      <c r="U373" s="6" t="s">
        <v>202</v>
      </c>
      <c r="V373" s="24" t="e">
        <f t="shared" ca="1" si="5"/>
        <v>#NAME?</v>
      </c>
      <c r="W373" s="24"/>
      <c r="X373" s="24"/>
      <c r="Y373" s="6" t="s">
        <v>240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2929</v>
      </c>
      <c r="B374" s="36" t="s">
        <v>3540</v>
      </c>
      <c r="C374" s="9">
        <v>440078</v>
      </c>
      <c r="D374" s="9" t="s">
        <v>2931</v>
      </c>
      <c r="E374" s="9" t="s">
        <v>20</v>
      </c>
      <c r="F374" s="9" t="s">
        <v>2938</v>
      </c>
      <c r="G374" s="7" t="e">
        <f t="shared" ca="1" si="4"/>
        <v>#NAME?</v>
      </c>
      <c r="H374" s="8" t="s">
        <v>145</v>
      </c>
      <c r="I374" s="24" t="s">
        <v>146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3541</v>
      </c>
      <c r="R374" s="108"/>
      <c r="S374" s="7" t="s">
        <v>127</v>
      </c>
      <c r="T374" s="9" t="s">
        <v>3542</v>
      </c>
      <c r="U374" s="6" t="s">
        <v>20</v>
      </c>
      <c r="V374" s="24" t="e">
        <f t="shared" ca="1" si="5"/>
        <v>#NAME?</v>
      </c>
      <c r="W374" s="24"/>
      <c r="X374" s="24"/>
      <c r="Y374" s="6" t="s">
        <v>240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2929</v>
      </c>
      <c r="B375" s="36" t="s">
        <v>3543</v>
      </c>
      <c r="C375" s="9">
        <v>88816</v>
      </c>
      <c r="D375" s="9" t="s">
        <v>2997</v>
      </c>
      <c r="E375" s="9" t="s">
        <v>20</v>
      </c>
      <c r="F375" s="9" t="s">
        <v>2997</v>
      </c>
      <c r="G375" s="7" t="e">
        <f t="shared" ca="1" si="4"/>
        <v>#NAME?</v>
      </c>
      <c r="H375" s="8" t="s">
        <v>145</v>
      </c>
      <c r="I375" s="24" t="s">
        <v>146</v>
      </c>
      <c r="J375" s="9" t="str">
        <f t="shared" si="6"/>
        <v>Não</v>
      </c>
      <c r="K375" s="232">
        <v>43538</v>
      </c>
      <c r="L375" s="6"/>
      <c r="M375" s="6" t="s">
        <v>242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127</v>
      </c>
      <c r="T375" s="9" t="s">
        <v>3544</v>
      </c>
      <c r="U375" s="6" t="s">
        <v>20</v>
      </c>
      <c r="V375" s="24" t="e">
        <f t="shared" ca="1" si="5"/>
        <v>#NAME?</v>
      </c>
      <c r="W375" s="24"/>
      <c r="X375" s="24"/>
      <c r="Y375" s="6" t="s">
        <v>240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2929</v>
      </c>
      <c r="B376" s="37" t="s">
        <v>3545</v>
      </c>
      <c r="C376" s="9">
        <v>32407</v>
      </c>
      <c r="D376" s="9" t="s">
        <v>19</v>
      </c>
      <c r="E376" s="9" t="s">
        <v>35</v>
      </c>
      <c r="F376" s="6" t="s">
        <v>199</v>
      </c>
      <c r="G376" s="7" t="e">
        <f t="shared" ca="1" si="4"/>
        <v>#NAME?</v>
      </c>
      <c r="H376" s="8" t="s">
        <v>145</v>
      </c>
      <c r="I376" s="24" t="s">
        <v>146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127</v>
      </c>
      <c r="T376" s="6" t="s">
        <v>2737</v>
      </c>
      <c r="U376" s="6" t="s">
        <v>202</v>
      </c>
      <c r="V376" s="24" t="e">
        <f t="shared" ca="1" si="5"/>
        <v>#NAME?</v>
      </c>
      <c r="W376" s="24"/>
      <c r="X376" s="24"/>
      <c r="Y376" s="6" t="s">
        <v>240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2929</v>
      </c>
      <c r="B377" s="37" t="s">
        <v>2762</v>
      </c>
      <c r="C377" s="9">
        <v>582421</v>
      </c>
      <c r="D377" s="9" t="s">
        <v>19</v>
      </c>
      <c r="E377" s="9" t="s">
        <v>35</v>
      </c>
      <c r="F377" s="6" t="s">
        <v>250</v>
      </c>
      <c r="G377" s="7" t="e">
        <f t="shared" ca="1" si="4"/>
        <v>#NAME?</v>
      </c>
      <c r="H377" s="8" t="s">
        <v>145</v>
      </c>
      <c r="I377" s="24" t="s">
        <v>146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3546</v>
      </c>
      <c r="S377" s="7" t="s">
        <v>127</v>
      </c>
      <c r="T377" s="6" t="s">
        <v>2765</v>
      </c>
      <c r="U377" s="6" t="s">
        <v>202</v>
      </c>
      <c r="V377" s="24" t="e">
        <f t="shared" ca="1" si="5"/>
        <v>#NAME?</v>
      </c>
      <c r="W377" s="24"/>
      <c r="X377" s="24"/>
      <c r="Y377" s="6" t="s">
        <v>240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2929</v>
      </c>
      <c r="B378" s="37" t="s">
        <v>3547</v>
      </c>
      <c r="C378" s="9">
        <v>358322</v>
      </c>
      <c r="D378" s="9" t="s">
        <v>19</v>
      </c>
      <c r="E378" s="9" t="s">
        <v>35</v>
      </c>
      <c r="F378" s="6" t="s">
        <v>2979</v>
      </c>
      <c r="G378" s="7" t="e">
        <f t="shared" ca="1" si="4"/>
        <v>#NAME?</v>
      </c>
      <c r="H378" s="8" t="s">
        <v>145</v>
      </c>
      <c r="I378" s="24" t="s">
        <v>146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127</v>
      </c>
      <c r="T378" s="6" t="s">
        <v>3548</v>
      </c>
      <c r="U378" s="6" t="s">
        <v>202</v>
      </c>
      <c r="V378" s="24" t="e">
        <f t="shared" ca="1" si="5"/>
        <v>#NAME?</v>
      </c>
      <c r="W378" s="24"/>
      <c r="X378" s="24"/>
      <c r="Y378" s="6" t="s">
        <v>240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2929</v>
      </c>
      <c r="B379" s="37" t="s">
        <v>3549</v>
      </c>
      <c r="C379" s="9">
        <v>296193</v>
      </c>
      <c r="D379" s="9" t="s">
        <v>19</v>
      </c>
      <c r="E379" s="9" t="s">
        <v>20</v>
      </c>
      <c r="F379" s="6" t="s">
        <v>3080</v>
      </c>
      <c r="G379" s="7" t="e">
        <f t="shared" ca="1" si="4"/>
        <v>#NAME?</v>
      </c>
      <c r="H379" s="8" t="s">
        <v>125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185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127</v>
      </c>
      <c r="T379" s="6" t="s">
        <v>3550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2940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2929</v>
      </c>
      <c r="B380" s="3" t="s">
        <v>3551</v>
      </c>
      <c r="C380" s="9">
        <v>494175</v>
      </c>
      <c r="D380" s="9" t="s">
        <v>19</v>
      </c>
      <c r="E380" s="9" t="s">
        <v>35</v>
      </c>
      <c r="F380" s="6" t="s">
        <v>250</v>
      </c>
      <c r="G380" s="7" t="e">
        <f t="shared" ca="1" si="4"/>
        <v>#NAME?</v>
      </c>
      <c r="H380" s="8" t="s">
        <v>125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185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127</v>
      </c>
      <c r="T380" s="6" t="s">
        <v>3552</v>
      </c>
      <c r="U380" s="6" t="s">
        <v>202</v>
      </c>
      <c r="V380" s="24" t="e">
        <f t="shared" ca="1" si="5"/>
        <v>#NAME?</v>
      </c>
      <c r="W380" s="24"/>
      <c r="X380" s="24"/>
      <c r="Y380" s="6" t="s">
        <v>240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2929</v>
      </c>
      <c r="B381" s="37" t="s">
        <v>3553</v>
      </c>
      <c r="C381" s="9">
        <v>433204</v>
      </c>
      <c r="D381" s="9" t="s">
        <v>2931</v>
      </c>
      <c r="E381" s="9" t="s">
        <v>20</v>
      </c>
      <c r="F381" s="6" t="s">
        <v>2932</v>
      </c>
      <c r="G381" s="7" t="e">
        <f t="shared" ca="1" si="4"/>
        <v>#NAME?</v>
      </c>
      <c r="H381" s="8" t="s">
        <v>125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242</v>
      </c>
      <c r="N381" s="10">
        <v>0.02</v>
      </c>
      <c r="O381" s="9" t="s">
        <v>167</v>
      </c>
      <c r="P381" s="234">
        <v>0.2</v>
      </c>
      <c r="Q381" s="108"/>
      <c r="R381" s="108"/>
      <c r="S381" s="7" t="s">
        <v>127</v>
      </c>
      <c r="T381" s="6" t="s">
        <v>3554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2940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2929</v>
      </c>
      <c r="B382" s="37" t="s">
        <v>3555</v>
      </c>
      <c r="C382" s="9">
        <v>574599</v>
      </c>
      <c r="D382" s="9" t="s">
        <v>2931</v>
      </c>
      <c r="E382" s="9" t="s">
        <v>20</v>
      </c>
      <c r="F382" s="6" t="s">
        <v>2932</v>
      </c>
      <c r="G382" s="7" t="e">
        <f t="shared" ca="1" si="4"/>
        <v>#NAME?</v>
      </c>
      <c r="H382" s="8" t="s">
        <v>125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185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127</v>
      </c>
      <c r="T382" s="6" t="s">
        <v>3556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2940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2929</v>
      </c>
      <c r="B383" s="37" t="s">
        <v>3555</v>
      </c>
      <c r="C383" s="9">
        <v>575296</v>
      </c>
      <c r="D383" s="9" t="s">
        <v>2931</v>
      </c>
      <c r="E383" s="9" t="s">
        <v>20</v>
      </c>
      <c r="F383" s="6" t="s">
        <v>2932</v>
      </c>
      <c r="G383" s="7" t="e">
        <f t="shared" ca="1" si="4"/>
        <v>#NAME?</v>
      </c>
      <c r="H383" s="8" t="s">
        <v>125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242</v>
      </c>
      <c r="N383" s="10">
        <v>2.5000000000000001E-2</v>
      </c>
      <c r="O383" s="9" t="s">
        <v>167</v>
      </c>
      <c r="P383" s="234">
        <v>0.2</v>
      </c>
      <c r="Q383" s="108"/>
      <c r="R383" s="108"/>
      <c r="S383" s="7" t="s">
        <v>127</v>
      </c>
      <c r="T383" s="6" t="s">
        <v>3556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2940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2929</v>
      </c>
      <c r="B384" s="3" t="s">
        <v>3557</v>
      </c>
      <c r="C384" s="9">
        <v>424312</v>
      </c>
      <c r="D384" s="9" t="s">
        <v>2931</v>
      </c>
      <c r="E384" s="9" t="s">
        <v>20</v>
      </c>
      <c r="F384" s="6" t="s">
        <v>2932</v>
      </c>
      <c r="G384" s="7" t="e">
        <f t="shared" ca="1" si="4"/>
        <v>#NAME?</v>
      </c>
      <c r="H384" s="8" t="s">
        <v>125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127</v>
      </c>
      <c r="T384" s="6" t="s">
        <v>3558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2940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2929</v>
      </c>
      <c r="B385" s="106" t="s">
        <v>3559</v>
      </c>
      <c r="C385" s="9">
        <v>47922</v>
      </c>
      <c r="D385" s="9" t="s">
        <v>19</v>
      </c>
      <c r="E385" s="9" t="s">
        <v>35</v>
      </c>
      <c r="F385" s="9" t="s">
        <v>250</v>
      </c>
      <c r="G385" s="7" t="e">
        <f t="shared" ca="1" si="4"/>
        <v>#NAME?</v>
      </c>
      <c r="H385" s="8" t="s">
        <v>145</v>
      </c>
      <c r="I385" s="24" t="s">
        <v>146</v>
      </c>
      <c r="J385" s="9" t="str">
        <f t="shared" si="6"/>
        <v>Não</v>
      </c>
      <c r="K385" s="107">
        <v>44273</v>
      </c>
      <c r="L385" s="7"/>
      <c r="M385" s="6" t="s">
        <v>185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127</v>
      </c>
      <c r="T385" s="9" t="s">
        <v>3560</v>
      </c>
      <c r="U385" s="6" t="s">
        <v>202</v>
      </c>
      <c r="V385" s="24" t="e">
        <f t="shared" ca="1" si="5"/>
        <v>#NAME?</v>
      </c>
      <c r="W385" s="24"/>
      <c r="X385" s="24"/>
      <c r="Y385" s="6" t="s">
        <v>240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2929</v>
      </c>
      <c r="B386" s="3" t="s">
        <v>3561</v>
      </c>
      <c r="C386" s="9">
        <v>467548</v>
      </c>
      <c r="D386" s="9" t="s">
        <v>19</v>
      </c>
      <c r="E386" s="9" t="s">
        <v>35</v>
      </c>
      <c r="F386" s="9" t="s">
        <v>2979</v>
      </c>
      <c r="G386" s="7" t="e">
        <f t="shared" ca="1" si="4"/>
        <v>#NAME?</v>
      </c>
      <c r="H386" s="8" t="s">
        <v>125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185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3562</v>
      </c>
      <c r="S386" s="7" t="s">
        <v>127</v>
      </c>
      <c r="T386" s="6" t="s">
        <v>3563</v>
      </c>
      <c r="U386" s="6" t="s">
        <v>202</v>
      </c>
      <c r="V386" s="24" t="e">
        <f t="shared" ca="1" si="5"/>
        <v>#NAME?</v>
      </c>
      <c r="W386" s="24"/>
      <c r="X386" s="24"/>
      <c r="Y386" s="6" t="s">
        <v>240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2929</v>
      </c>
      <c r="B387" s="37" t="s">
        <v>3561</v>
      </c>
      <c r="C387" s="9">
        <v>0</v>
      </c>
      <c r="D387" s="9" t="s">
        <v>19</v>
      </c>
      <c r="E387" s="9" t="s">
        <v>35</v>
      </c>
      <c r="F387" s="9" t="s">
        <v>2979</v>
      </c>
      <c r="G387" s="7" t="e">
        <f t="shared" ca="1" si="4"/>
        <v>#NAME?</v>
      </c>
      <c r="H387" s="8" t="s">
        <v>125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3155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127</v>
      </c>
      <c r="T387" s="6" t="s">
        <v>3563</v>
      </c>
      <c r="U387" s="6" t="s">
        <v>202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2940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2929</v>
      </c>
      <c r="B388" s="36" t="s">
        <v>3564</v>
      </c>
      <c r="C388" s="9">
        <v>577392</v>
      </c>
      <c r="D388" s="9" t="s">
        <v>2931</v>
      </c>
      <c r="E388" s="9" t="s">
        <v>20</v>
      </c>
      <c r="F388" s="9" t="s">
        <v>2932</v>
      </c>
      <c r="G388" s="7" t="e">
        <f t="shared" ca="1" si="4"/>
        <v>#NAME?</v>
      </c>
      <c r="H388" s="8" t="s">
        <v>145</v>
      </c>
      <c r="I388" s="24" t="s">
        <v>146</v>
      </c>
      <c r="J388" s="9" t="str">
        <f t="shared" si="6"/>
        <v>Não</v>
      </c>
      <c r="K388" s="232">
        <v>43567</v>
      </c>
      <c r="L388" s="6"/>
      <c r="M388" s="6" t="s">
        <v>185</v>
      </c>
      <c r="N388" s="233">
        <v>0.01</v>
      </c>
      <c r="O388" s="9" t="s">
        <v>39</v>
      </c>
      <c r="P388" s="234">
        <v>0.1</v>
      </c>
      <c r="Q388" s="36"/>
      <c r="R388" s="108" t="s">
        <v>3565</v>
      </c>
      <c r="S388" s="7" t="s">
        <v>127</v>
      </c>
      <c r="T388" s="9" t="s">
        <v>3566</v>
      </c>
      <c r="U388" s="6" t="s">
        <v>20</v>
      </c>
      <c r="V388" s="24" t="e">
        <f t="shared" ca="1" si="5"/>
        <v>#NAME?</v>
      </c>
      <c r="W388" s="24"/>
      <c r="X388" s="24"/>
      <c r="Y388" s="6" t="s">
        <v>240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2929</v>
      </c>
      <c r="B389" s="106" t="s">
        <v>3567</v>
      </c>
      <c r="C389" s="9">
        <v>384538</v>
      </c>
      <c r="D389" s="9" t="s">
        <v>19</v>
      </c>
      <c r="E389" s="9" t="s">
        <v>20</v>
      </c>
      <c r="F389" s="9" t="s">
        <v>3166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185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127</v>
      </c>
      <c r="T389" s="9" t="s">
        <v>3568</v>
      </c>
      <c r="U389" s="6" t="s">
        <v>48</v>
      </c>
      <c r="V389" s="24" t="e">
        <f t="shared" ca="1" si="5"/>
        <v>#NAME?</v>
      </c>
      <c r="W389" s="24"/>
      <c r="X389" s="24"/>
      <c r="Y389" s="6" t="s">
        <v>129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2929</v>
      </c>
      <c r="B390" s="37" t="s">
        <v>2836</v>
      </c>
      <c r="C390" s="9">
        <v>576246</v>
      </c>
      <c r="D390" s="9" t="s">
        <v>19</v>
      </c>
      <c r="E390" s="9" t="s">
        <v>35</v>
      </c>
      <c r="F390" s="9" t="s">
        <v>199</v>
      </c>
      <c r="G390" s="7" t="e">
        <f t="shared" ca="1" si="4"/>
        <v>#NAME?</v>
      </c>
      <c r="H390" s="8" t="s">
        <v>145</v>
      </c>
      <c r="I390" s="24" t="s">
        <v>146</v>
      </c>
      <c r="J390" s="9" t="str">
        <f t="shared" si="6"/>
        <v>Não</v>
      </c>
      <c r="K390" s="107">
        <v>44599</v>
      </c>
      <c r="L390" s="6"/>
      <c r="M390" s="6" t="s">
        <v>185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127</v>
      </c>
      <c r="T390" s="6" t="s">
        <v>2839</v>
      </c>
      <c r="U390" s="6" t="s">
        <v>202</v>
      </c>
      <c r="V390" s="24" t="e">
        <f t="shared" ca="1" si="5"/>
        <v>#NAME?</v>
      </c>
      <c r="W390" s="24"/>
      <c r="X390" s="24"/>
      <c r="Y390" s="6" t="s">
        <v>240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2929</v>
      </c>
      <c r="B391" s="37" t="s">
        <v>2836</v>
      </c>
      <c r="C391" s="9">
        <v>557385</v>
      </c>
      <c r="D391" s="9" t="s">
        <v>19</v>
      </c>
      <c r="E391" s="9" t="s">
        <v>35</v>
      </c>
      <c r="F391" s="9" t="s">
        <v>199</v>
      </c>
      <c r="G391" s="7" t="e">
        <f t="shared" ca="1" si="4"/>
        <v>#NAME?</v>
      </c>
      <c r="H391" s="8" t="s">
        <v>145</v>
      </c>
      <c r="I391" s="24" t="s">
        <v>146</v>
      </c>
      <c r="J391" s="9" t="str">
        <f t="shared" si="6"/>
        <v>Não</v>
      </c>
      <c r="K391" s="6"/>
      <c r="L391" s="6"/>
      <c r="M391" s="7" t="s">
        <v>3155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127</v>
      </c>
      <c r="T391" s="6" t="s">
        <v>2839</v>
      </c>
      <c r="U391" s="6" t="s">
        <v>202</v>
      </c>
      <c r="V391" s="24" t="e">
        <f t="shared" ca="1" si="5"/>
        <v>#NAME?</v>
      </c>
      <c r="W391" s="24"/>
      <c r="X391" s="24"/>
      <c r="Y391" s="6" t="s">
        <v>240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2940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2929</v>
      </c>
      <c r="B392" s="37" t="s">
        <v>3569</v>
      </c>
      <c r="C392" s="9">
        <v>379727</v>
      </c>
      <c r="D392" s="9" t="s">
        <v>19</v>
      </c>
      <c r="E392" s="9" t="s">
        <v>20</v>
      </c>
      <c r="F392" s="9" t="s">
        <v>3166</v>
      </c>
      <c r="G392" s="7" t="e">
        <f t="shared" ca="1" si="4"/>
        <v>#NAME?</v>
      </c>
      <c r="H392" s="8" t="s">
        <v>134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185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127</v>
      </c>
      <c r="T392" s="6" t="s">
        <v>3570</v>
      </c>
      <c r="U392" s="6" t="s">
        <v>48</v>
      </c>
      <c r="V392" s="24" t="e">
        <f t="shared" ca="1" si="5"/>
        <v>#NAME?</v>
      </c>
      <c r="W392" s="24"/>
      <c r="X392" s="24"/>
      <c r="Y392" s="6" t="s">
        <v>240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2929</v>
      </c>
      <c r="B393" s="3" t="s">
        <v>3571</v>
      </c>
      <c r="C393" s="9">
        <v>46143</v>
      </c>
      <c r="D393" s="9" t="s">
        <v>19</v>
      </c>
      <c r="E393" s="9" t="s">
        <v>35</v>
      </c>
      <c r="F393" s="9" t="s">
        <v>250</v>
      </c>
      <c r="G393" s="7" t="e">
        <f t="shared" ca="1" si="4"/>
        <v>#NAME?</v>
      </c>
      <c r="H393" s="8" t="s">
        <v>145</v>
      </c>
      <c r="I393" s="24" t="s">
        <v>146</v>
      </c>
      <c r="J393" s="9" t="str">
        <f t="shared" si="6"/>
        <v>Não</v>
      </c>
      <c r="K393" s="232">
        <v>44319</v>
      </c>
      <c r="L393" s="6"/>
      <c r="M393" s="6" t="s">
        <v>242</v>
      </c>
      <c r="N393" s="233">
        <v>2.5000000000000001E-2</v>
      </c>
      <c r="O393" s="9" t="s">
        <v>167</v>
      </c>
      <c r="P393" s="234">
        <v>0.2</v>
      </c>
      <c r="Q393" s="28"/>
      <c r="R393" s="28" t="s">
        <v>3572</v>
      </c>
      <c r="S393" s="7" t="s">
        <v>127</v>
      </c>
      <c r="T393" s="6" t="s">
        <v>3573</v>
      </c>
      <c r="U393" s="6" t="s">
        <v>202</v>
      </c>
      <c r="V393" s="24" t="e">
        <f t="shared" ca="1" si="5"/>
        <v>#NAME?</v>
      </c>
      <c r="W393" s="24"/>
      <c r="X393" s="24"/>
      <c r="Y393" s="6" t="s">
        <v>240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2929</v>
      </c>
      <c r="B394" s="37" t="s">
        <v>3574</v>
      </c>
      <c r="C394" s="9">
        <v>443359</v>
      </c>
      <c r="D394" s="9" t="s">
        <v>19</v>
      </c>
      <c r="E394" s="9" t="s">
        <v>35</v>
      </c>
      <c r="F394" s="9" t="s">
        <v>250</v>
      </c>
      <c r="G394" s="7" t="e">
        <f t="shared" ca="1" si="4"/>
        <v>#NAME?</v>
      </c>
      <c r="H394" s="8" t="s">
        <v>145</v>
      </c>
      <c r="I394" s="24" t="s">
        <v>229</v>
      </c>
      <c r="J394" s="9" t="str">
        <f t="shared" si="6"/>
        <v>Não</v>
      </c>
      <c r="K394" s="232">
        <v>44651</v>
      </c>
      <c r="L394" s="6"/>
      <c r="M394" s="6" t="s">
        <v>185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127</v>
      </c>
      <c r="T394" s="6" t="s">
        <v>3575</v>
      </c>
      <c r="U394" s="6" t="s">
        <v>202</v>
      </c>
      <c r="V394" s="24" t="e">
        <f t="shared" ca="1" si="5"/>
        <v>#NAME?</v>
      </c>
      <c r="W394" s="24"/>
      <c r="X394" s="24"/>
      <c r="Y394" s="6" t="s">
        <v>240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2929</v>
      </c>
      <c r="B395" s="3" t="s">
        <v>3576</v>
      </c>
      <c r="C395" s="9">
        <v>478832</v>
      </c>
      <c r="D395" s="9" t="s">
        <v>19</v>
      </c>
      <c r="E395" s="9" t="s">
        <v>35</v>
      </c>
      <c r="F395" s="9" t="s">
        <v>250</v>
      </c>
      <c r="G395" s="7" t="e">
        <f t="shared" ca="1" si="4"/>
        <v>#NAME?</v>
      </c>
      <c r="H395" s="8" t="s">
        <v>145</v>
      </c>
      <c r="I395" s="24" t="s">
        <v>921</v>
      </c>
      <c r="J395" s="9" t="str">
        <f t="shared" si="6"/>
        <v>Não</v>
      </c>
      <c r="K395" s="232">
        <v>44291</v>
      </c>
      <c r="L395" s="7"/>
      <c r="M395" s="6" t="s">
        <v>185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171</v>
      </c>
      <c r="T395" s="6" t="s">
        <v>3577</v>
      </c>
      <c r="U395" s="6" t="s">
        <v>202</v>
      </c>
      <c r="V395" s="24" t="e">
        <f t="shared" ca="1" si="5"/>
        <v>#NAME?</v>
      </c>
      <c r="W395" s="24"/>
      <c r="X395" s="24"/>
      <c r="Y395" s="6" t="s">
        <v>240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2886</v>
      </c>
      <c r="C397" s="278">
        <f>COUNTIF(H:H,"Ativo")</f>
        <v>42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2888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3578</v>
      </c>
      <c r="C399" s="285">
        <f>COUNTIF(H:H,"Inativo")</f>
        <v>178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2889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5D44B39B-277B-4C7A-BD8A-5463D70ACC0F}" filter="1" showAutoFilter="1">
      <pageMargins left="0.511811024" right="0.511811024" top="0.78740157499999996" bottom="0.78740157499999996" header="0.31496062000000002" footer="0.31496062000000002"/>
      <autoFilter ref="A2:BZ395" xr:uid="{CC4F8D84-4EAB-4503-899B-5C90B53BA8E0}"/>
    </customSheetView>
    <customSheetView guid="{5BE1A573-7F5C-4165-AEAB-13C2F8CBD466}" filter="1" showAutoFilter="1">
      <pageMargins left="0.511811024" right="0.511811024" top="0.78740157499999996" bottom="0.78740157499999996" header="0.31496062000000002" footer="0.31496062000000002"/>
      <autoFilter ref="A1:CC395" xr:uid="{47BFC791-80EE-4D91-829B-44AFD1FDD73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5EF1651-84D8-4F09-8353-391BFF2EC862}" filter="1" showAutoFilter="1">
      <pageMargins left="0.511811024" right="0.511811024" top="0.78740157499999996" bottom="0.78740157499999996" header="0.31496062000000002" footer="0.31496062000000002"/>
      <autoFilter ref="B2:BQ395" xr:uid="{DE646354-CF34-462D-9AEF-C8C9A50A57EF}"/>
    </customSheetView>
    <customSheetView guid="{A849DA94-1418-424D-BCA5-7A2C4F887372}" filter="1" showAutoFilter="1">
      <pageMargins left="0.511811024" right="0.511811024" top="0.78740157499999996" bottom="0.78740157499999996" header="0.31496062000000002" footer="0.31496062000000002"/>
      <autoFilter ref="A1:CA395" xr:uid="{5864049E-07CC-4F42-99B3-E63D1168498C}"/>
    </customSheetView>
    <customSheetView guid="{23B9B2B3-A936-4DBD-88B3-0A988C85FAAA}" filter="1" showAutoFilter="1">
      <pageMargins left="0.511811024" right="0.511811024" top="0.78740157499999996" bottom="0.78740157499999996" header="0.31496062000000002" footer="0.31496062000000002"/>
      <autoFilter ref="A2:CA395" xr:uid="{AEF5AD54-3F39-4603-AA46-46BE69AC8AF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40CB123-C93E-4921-B22E-729A6CA2515A}" filter="1" showAutoFilter="1">
      <pageMargins left="0.511811024" right="0.511811024" top="0.78740157499999996" bottom="0.78740157499999996" header="0.31496062000000002" footer="0.31496062000000002"/>
      <autoFilter ref="A1:CA395" xr:uid="{D55AE746-884A-4E09-9306-C17A11888E8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38DF29A-C66B-4A6D-943E-627D67090951}" filter="1" showAutoFilter="1">
      <pageMargins left="0.511811024" right="0.511811024" top="0.78740157499999996" bottom="0.78740157499999996" header="0.31496062000000002" footer="0.31496062000000002"/>
      <autoFilter ref="B2:BP395" xr:uid="{9F663B9D-FF97-4277-804C-9FBC31D67024}"/>
    </customSheetView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K2:P241" xr:uid="{D852BBC8-79D8-448C-AF41-96C39486EB3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5C6209F-0C05-451B-8D21-7C16EB91CF2E}" filter="1" showAutoFilter="1">
      <pageMargins left="0.511811024" right="0.511811024" top="0.78740157499999996" bottom="0.78740157499999996" header="0.31496062000000002" footer="0.31496062000000002"/>
      <autoFilter ref="B2:BQ395" xr:uid="{95FD24CB-9E23-4345-BB9D-15BA800D13C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83E914E-7EE7-4CCA-8962-BAB60323102B}" filter="1" showAutoFilter="1">
      <pageMargins left="0.511811024" right="0.511811024" top="0.78740157499999996" bottom="0.78740157499999996" header="0.31496062000000002" footer="0.31496062000000002"/>
      <autoFilter ref="A2:BZ395" xr:uid="{FB43DE2E-DF49-493E-A504-5C0B153179B9}"/>
    </customSheetView>
    <customSheetView guid="{28003C19-2592-44F6-BF45-63AC343ABDD2}" filter="1" showAutoFilter="1">
      <pageMargins left="0.511811024" right="0.511811024" top="0.78740157499999996" bottom="0.78740157499999996" header="0.31496062000000002" footer="0.31496062000000002"/>
      <autoFilter ref="K2:P403" xr:uid="{AA6474B2-E762-49D8-91CD-3A4BBEE1E1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4C28A3A-F9E3-4AFE-B9E9-255038725DDE}" filter="1" showAutoFilter="1">
      <pageMargins left="0.511811024" right="0.511811024" top="0.78740157499999996" bottom="0.78740157499999996" header="0.31496062000000002" footer="0.31496062000000002"/>
      <autoFilter ref="B2:P403" xr:uid="{336B6312-EECF-4131-8E8B-D48E8E204D0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695ECAD-052A-41E6-9B10-9855CE143A7A}" filter="1" showAutoFilter="1">
      <pageMargins left="0.511811024" right="0.511811024" top="0.78740157499999996" bottom="0.78740157499999996" header="0.31496062000000002" footer="0.31496062000000002"/>
      <autoFilter ref="A1:BY403" xr:uid="{824061A3-B8B1-4267-8235-957DEC6E5F19}">
        <filterColumn colId="7">
          <filters>
            <filter val="Encerrado"/>
            <filter val="Ativo"/>
          </filters>
        </filterColumn>
      </autoFilter>
    </customSheetView>
    <customSheetView guid="{902CE914-A5B4-4C3D-94E2-6CE676CE7F3D}" filter="1" showAutoFilter="1">
      <pageMargins left="0.511811024" right="0.511811024" top="0.78740157499999996" bottom="0.78740157499999996" header="0.31496062000000002" footer="0.31496062000000002"/>
      <autoFilter ref="A1:CC395" xr:uid="{680FCD0C-4B86-4F13-A98F-AA375D50300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94CB357-E3E9-4C1F-891C-43CF83DD63F6}" filter="1" showAutoFilter="1">
      <pageMargins left="0.511811024" right="0.511811024" top="0.78740157499999996" bottom="0.78740157499999996" header="0.31496062000000002" footer="0.31496062000000002"/>
      <autoFilter ref="A1:BZ395" xr:uid="{08A482E2-8284-4499-B486-E648CA80AD55}"/>
    </customSheetView>
    <customSheetView guid="{EA5E2C98-FD99-4015-9596-C97482B84F02}" filter="1" showAutoFilter="1">
      <pageMargins left="0.511811024" right="0.511811024" top="0.78740157499999996" bottom="0.78740157499999996" header="0.31496062000000002" footer="0.31496062000000002"/>
      <autoFilter ref="B2:BQ395" xr:uid="{03CCC728-791E-4110-B957-E203DAF0B66C}"/>
    </customSheetView>
    <customSheetView guid="{EB70DFF4-058E-4307-9A11-765FFB65B141}" filter="1" showAutoFilter="1">
      <pageMargins left="0.511811024" right="0.511811024" top="0.78740157499999996" bottom="0.78740157499999996" header="0.31496062000000002" footer="0.31496062000000002"/>
      <autoFilter ref="K2:K403" xr:uid="{CBCB5E76-4E20-4E46-949E-E1E0855AEF3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3804860-C66F-4AD9-A5ED-DE9B46A8E773}" filter="1" showAutoFilter="1">
      <pageMargins left="0.511811024" right="0.511811024" top="0.78740157499999996" bottom="0.78740157499999996" header="0.31496062000000002" footer="0.31496062000000002"/>
      <autoFilter ref="B2:BP395" xr:uid="{4F981235-C584-4622-87BC-FA9074D923AD}"/>
    </customSheetView>
    <customSheetView guid="{AF6A4A4C-C03D-44C0-A538-ECF9B327DA32}" filter="1" showAutoFilter="1">
      <pageMargins left="0.511811024" right="0.511811024" top="0.78740157499999996" bottom="0.78740157499999996" header="0.31496062000000002" footer="0.31496062000000002"/>
      <autoFilter ref="A2:CB395" xr:uid="{81503C08-1E39-4544-9808-6E4B4EB928E8}">
        <filterColumn colId="7">
          <filters>
            <filter val="Inativo"/>
          </filters>
        </filterColumn>
      </autoFilter>
    </customSheetView>
    <customSheetView guid="{3971B9B5-E64A-4827-A358-4F02E4E81641}" filter="1" showAutoFilter="1">
      <pageMargins left="0.511811024" right="0.511811024" top="0.78740157499999996" bottom="0.78740157499999996" header="0.31496062000000002" footer="0.31496062000000002"/>
      <autoFilter ref="K2:K403" xr:uid="{1F6BE053-BE6B-4FC2-ADA8-72D3DD85FA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A6A789B-D303-47FF-B474-FEDF0B212CDF}" filter="1" showAutoFilter="1">
      <pageMargins left="0.511811024" right="0.511811024" top="0.78740157499999996" bottom="0.78740157499999996" header="0.31496062000000002" footer="0.31496062000000002"/>
      <autoFilter ref="K2:K403" xr:uid="{D71467C3-652E-4FFB-A8C3-C71A622F709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3C7FF90-A5AD-4758-A2B4-300004226B48}" filter="1" showAutoFilter="1">
      <pageMargins left="0.511811024" right="0.511811024" top="0.78740157499999996" bottom="0.78740157499999996" header="0.31496062000000002" footer="0.31496062000000002"/>
      <autoFilter ref="K2:K403" xr:uid="{B35160FF-0E80-475E-91D6-E389EE8D0C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D98970F-27D3-4F42-B1DD-E0228B704C10}" filter="1" showAutoFilter="1">
      <pageMargins left="0.511811024" right="0.511811024" top="0.78740157499999996" bottom="0.78740157499999996" header="0.31496062000000002" footer="0.31496062000000002"/>
      <autoFilter ref="B2:BU395" xr:uid="{36CE754C-841B-4A9F-A4B6-07CF18EDB1CA}"/>
    </customSheetView>
    <customSheetView guid="{FB4420EB-207E-4633-B206-EAF63B6BD124}" filter="1" showAutoFilter="1">
      <pageMargins left="0.511811024" right="0.511811024" top="0.78740157499999996" bottom="0.78740157499999996" header="0.31496062000000002" footer="0.31496062000000002"/>
      <autoFilter ref="K2:K403" xr:uid="{43DCFDA6-8F63-4E03-BD8E-E295BEC756E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7DE036D-B20F-44CC-9B9D-1FC12335F326}" filter="1" showAutoFilter="1">
      <pageMargins left="0.511811024" right="0.511811024" top="0.78740157499999996" bottom="0.78740157499999996" header="0.31496062000000002" footer="0.31496062000000002"/>
      <autoFilter ref="B2:BS403" xr:uid="{5928768B-2BBD-4B39-B0EF-B2DE80974AAC}"/>
    </customSheetView>
    <customSheetView guid="{20CA8F9B-4278-405F-AFBC-C3C50178C888}" filter="1" showAutoFilter="1">
      <pageMargins left="0.511811024" right="0.511811024" top="0.78740157499999996" bottom="0.78740157499999996" header="0.31496062000000002" footer="0.31496062000000002"/>
      <autoFilter ref="A1:CC395" xr:uid="{94F2CCBB-EE29-4973-B9CE-BF7CA335880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23FB3692-44FA-48F6-A6A3-5EA30732F04D}" filter="1" showAutoFilter="1">
      <pageMargins left="0.511811024" right="0.511811024" top="0.78740157499999996" bottom="0.78740157499999996" header="0.31496062000000002" footer="0.31496062000000002"/>
      <autoFilter ref="K2:K403" xr:uid="{C63EEE4B-D36E-434A-86D8-4F151CCEE15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8C8AD6C-84D0-4BB5-A738-EFBCD0ECB57B}" filter="1" showAutoFilter="1">
      <pageMargins left="0.511811024" right="0.511811024" top="0.78740157499999996" bottom="0.78740157499999996" header="0.31496062000000002" footer="0.31496062000000002"/>
      <autoFilter ref="B2:P403" xr:uid="{16E8B396-6EE3-41F3-B320-CB9327812BB6}"/>
    </customSheetView>
    <customSheetView guid="{05EE2FE8-A348-49B7-BAD8-2996D4687A74}" filter="1" showAutoFilter="1">
      <pageMargins left="0.511811024" right="0.511811024" top="0.78740157499999996" bottom="0.78740157499999996" header="0.31496062000000002" footer="0.31496062000000002"/>
      <autoFilter ref="K2:K403" xr:uid="{633A9465-51B1-493F-AE33-C8A34194EDF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L2:L403" xr:uid="{D9599A33-9D9F-4193-B093-6EBFFFE70587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F288C53-1972-433C-9389-E9BF4DCD7A4B}" filter="1" showAutoFilter="1">
      <pageMargins left="0.511811024" right="0.511811024" top="0.78740157499999996" bottom="0.78740157499999996" header="0.31496062000000002" footer="0.31496062000000002"/>
      <autoFilter ref="A2:CB395" xr:uid="{66B76890-8A3E-460C-8D67-4807272C9AE6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D6E5146-1B1B-45BD-81CC-02322B99761B}" filter="1" showAutoFilter="1">
      <pageMargins left="0.511811024" right="0.511811024" top="0.78740157499999996" bottom="0.78740157499999996" header="0.31496062000000002" footer="0.31496062000000002"/>
      <autoFilter ref="B2:P403" xr:uid="{9763D0E6-9777-4BA6-8D6C-2A79E224858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A3EEC3D-B852-4E63-9D17-79319870A059}" filter="1" showAutoFilter="1">
      <pageMargins left="0.511811024" right="0.511811024" top="0.78740157499999996" bottom="0.78740157499999996" header="0.31496062000000002" footer="0.31496062000000002"/>
      <autoFilter ref="K2:P403" xr:uid="{405FB50A-B0DD-4422-8774-B42A4BC2395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A38E3F3-D81A-41F1-90F5-02ABD8C231BC}" filter="1" showAutoFilter="1">
      <pageMargins left="0.511811024" right="0.511811024" top="0.78740157499999996" bottom="0.78740157499999996" header="0.31496062000000002" footer="0.31496062000000002"/>
      <autoFilter ref="K2:K403" xr:uid="{2B374FF6-9068-4026-90C3-842B6DD289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5AFBB65-2A8A-4F75-8E78-9B85B0D5EECC}" filter="1" showAutoFilter="1">
      <pageMargins left="0.511811024" right="0.511811024" top="0.78740157499999996" bottom="0.78740157499999996" header="0.31496062000000002" footer="0.31496062000000002"/>
      <autoFilter ref="K2:K403" xr:uid="{49B01D0D-5F53-4650-B139-45962F839D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2" t="s">
        <v>74</v>
      </c>
      <c r="B1" s="645"/>
      <c r="C1" s="645"/>
      <c r="D1" s="645"/>
      <c r="E1" s="645"/>
      <c r="F1" s="645"/>
      <c r="G1" s="16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645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</row>
    <row r="2" spans="1:4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102</v>
      </c>
      <c r="AD2" s="20" t="s">
        <v>103</v>
      </c>
      <c r="AE2" s="20" t="s">
        <v>104</v>
      </c>
      <c r="AF2" s="20" t="s">
        <v>105</v>
      </c>
      <c r="AG2" s="20" t="s">
        <v>106</v>
      </c>
      <c r="AH2" s="231" t="s">
        <v>107</v>
      </c>
      <c r="AI2" s="231" t="s">
        <v>108</v>
      </c>
      <c r="AJ2" s="231" t="s">
        <v>109</v>
      </c>
      <c r="AK2" s="231" t="s">
        <v>110</v>
      </c>
      <c r="AL2" s="231" t="s">
        <v>111</v>
      </c>
      <c r="AM2" s="231" t="s">
        <v>112</v>
      </c>
      <c r="AN2" s="231" t="s">
        <v>113</v>
      </c>
      <c r="AO2" s="231" t="s">
        <v>114</v>
      </c>
      <c r="AP2" s="231" t="s">
        <v>115</v>
      </c>
      <c r="AQ2" s="231" t="s">
        <v>116</v>
      </c>
      <c r="AR2" s="231" t="s">
        <v>117</v>
      </c>
      <c r="AS2" s="231" t="s">
        <v>118</v>
      </c>
      <c r="AT2" s="231" t="s">
        <v>119</v>
      </c>
      <c r="AU2" s="231" t="s">
        <v>120</v>
      </c>
      <c r="AV2" s="231" t="s">
        <v>121</v>
      </c>
    </row>
    <row r="3" spans="1:48" ht="15.75" customHeight="1">
      <c r="A3" s="122" t="s">
        <v>3579</v>
      </c>
      <c r="B3" s="122" t="s">
        <v>3580</v>
      </c>
      <c r="C3" s="292">
        <v>11005560</v>
      </c>
      <c r="D3" s="9" t="s">
        <v>19</v>
      </c>
      <c r="E3" s="9" t="s">
        <v>20</v>
      </c>
      <c r="F3" s="293" t="s">
        <v>184</v>
      </c>
      <c r="G3" s="293" t="s">
        <v>3581</v>
      </c>
      <c r="H3" s="24" t="s">
        <v>134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127</v>
      </c>
      <c r="T3" s="292" t="s">
        <v>3582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3579</v>
      </c>
      <c r="B4" s="122" t="s">
        <v>3583</v>
      </c>
      <c r="C4" s="292">
        <v>10940590</v>
      </c>
      <c r="D4" s="293" t="s">
        <v>19</v>
      </c>
      <c r="E4" s="293" t="s">
        <v>20</v>
      </c>
      <c r="F4" s="293" t="s">
        <v>437</v>
      </c>
      <c r="G4" s="293" t="s">
        <v>3581</v>
      </c>
      <c r="H4" s="297" t="s">
        <v>134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333</v>
      </c>
      <c r="N4" s="301">
        <v>0.02</v>
      </c>
      <c r="O4" s="292" t="s">
        <v>39</v>
      </c>
      <c r="P4" s="302">
        <v>0.2</v>
      </c>
      <c r="Q4" s="167" t="s">
        <v>3584</v>
      </c>
      <c r="R4" s="28"/>
      <c r="S4" s="7" t="s">
        <v>127</v>
      </c>
      <c r="T4" s="292" t="s">
        <v>3034</v>
      </c>
      <c r="U4" s="6" t="s">
        <v>20</v>
      </c>
      <c r="V4" s="295" t="e">
        <f t="shared" ca="1" si="1"/>
        <v>#NAME?</v>
      </c>
      <c r="W4" s="7"/>
      <c r="X4" s="7"/>
      <c r="Y4" s="7" t="s">
        <v>240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3579</v>
      </c>
      <c r="B5" s="161" t="s">
        <v>3585</v>
      </c>
      <c r="C5" s="292" t="s">
        <v>3586</v>
      </c>
      <c r="D5" s="9" t="s">
        <v>19</v>
      </c>
      <c r="E5" s="9" t="s">
        <v>20</v>
      </c>
      <c r="F5" s="292" t="s">
        <v>19</v>
      </c>
      <c r="G5" s="293" t="s">
        <v>3581</v>
      </c>
      <c r="H5" s="24" t="s">
        <v>134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185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171</v>
      </c>
      <c r="T5" s="293" t="s">
        <v>3587</v>
      </c>
      <c r="U5" s="6" t="s">
        <v>20</v>
      </c>
      <c r="V5" s="295" t="e">
        <f t="shared" ca="1" si="1"/>
        <v>#NAME?</v>
      </c>
      <c r="W5" s="7"/>
      <c r="X5" s="7"/>
      <c r="Y5" s="7" t="s">
        <v>240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3579</v>
      </c>
      <c r="B6" s="122" t="s">
        <v>3588</v>
      </c>
      <c r="C6" s="292">
        <v>10982276</v>
      </c>
      <c r="D6" s="9" t="s">
        <v>19</v>
      </c>
      <c r="E6" s="9" t="s">
        <v>20</v>
      </c>
      <c r="F6" s="293" t="s">
        <v>3589</v>
      </c>
      <c r="G6" s="293" t="s">
        <v>3581</v>
      </c>
      <c r="H6" s="24" t="s">
        <v>145</v>
      </c>
      <c r="I6" s="24" t="s">
        <v>146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171</v>
      </c>
      <c r="T6" s="9" t="s">
        <v>1390</v>
      </c>
      <c r="U6" s="6" t="s">
        <v>48</v>
      </c>
      <c r="V6" s="295" t="e">
        <f t="shared" ca="1" si="1"/>
        <v>#NAME?</v>
      </c>
      <c r="W6" s="7"/>
      <c r="X6" s="7"/>
      <c r="Y6" s="7" t="s">
        <v>240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3579</v>
      </c>
      <c r="B7" s="106" t="s">
        <v>1518</v>
      </c>
      <c r="C7" s="292" t="s">
        <v>3590</v>
      </c>
      <c r="D7" s="9" t="s">
        <v>19</v>
      </c>
      <c r="E7" s="9" t="s">
        <v>20</v>
      </c>
      <c r="F7" s="293" t="s">
        <v>437</v>
      </c>
      <c r="G7" s="293" t="s">
        <v>3581</v>
      </c>
      <c r="H7" s="24" t="s">
        <v>134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127</v>
      </c>
      <c r="T7" s="6" t="s">
        <v>1520</v>
      </c>
      <c r="U7" s="6" t="s">
        <v>48</v>
      </c>
      <c r="V7" s="295" t="e">
        <f t="shared" ca="1" si="1"/>
        <v>#NAME?</v>
      </c>
      <c r="W7" s="7"/>
      <c r="X7" s="7"/>
      <c r="Y7" s="7" t="s">
        <v>129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3579</v>
      </c>
      <c r="B8" s="161" t="s">
        <v>3591</v>
      </c>
      <c r="C8" s="292">
        <v>3844136</v>
      </c>
      <c r="D8" s="9" t="s">
        <v>19</v>
      </c>
      <c r="E8" s="9" t="s">
        <v>41</v>
      </c>
      <c r="F8" s="292" t="s">
        <v>651</v>
      </c>
      <c r="G8" s="293" t="s">
        <v>3581</v>
      </c>
      <c r="H8" s="24" t="s">
        <v>134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185</v>
      </c>
      <c r="N8" s="301">
        <v>1.4999999999999999E-2</v>
      </c>
      <c r="O8" s="6" t="s">
        <v>39</v>
      </c>
      <c r="P8" s="11">
        <v>0.1</v>
      </c>
      <c r="Q8" s="167" t="s">
        <v>3592</v>
      </c>
      <c r="R8" s="28"/>
      <c r="S8" s="7" t="s">
        <v>127</v>
      </c>
      <c r="T8" s="293" t="s">
        <v>3593</v>
      </c>
      <c r="U8" s="6" t="s">
        <v>41</v>
      </c>
      <c r="V8" s="295" t="e">
        <f t="shared" ca="1" si="1"/>
        <v>#NAME?</v>
      </c>
      <c r="W8" s="7"/>
      <c r="X8" s="7"/>
      <c r="Y8" s="7" t="s">
        <v>240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3579</v>
      </c>
      <c r="B9" s="122" t="s">
        <v>1865</v>
      </c>
      <c r="C9" s="292">
        <v>10936630</v>
      </c>
      <c r="D9" s="9" t="s">
        <v>19</v>
      </c>
      <c r="E9" s="9" t="s">
        <v>20</v>
      </c>
      <c r="F9" s="293" t="s">
        <v>791</v>
      </c>
      <c r="G9" s="293" t="s">
        <v>3581</v>
      </c>
      <c r="H9" s="24" t="s">
        <v>145</v>
      </c>
      <c r="I9" s="24" t="s">
        <v>146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127</v>
      </c>
      <c r="T9" s="292" t="s">
        <v>1868</v>
      </c>
      <c r="U9" s="6" t="s">
        <v>20</v>
      </c>
      <c r="V9" s="295" t="e">
        <f t="shared" ca="1" si="1"/>
        <v>#NAME?</v>
      </c>
      <c r="W9" s="7"/>
      <c r="X9" s="7"/>
      <c r="Y9" s="7" t="s">
        <v>240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3579</v>
      </c>
      <c r="B10" s="122" t="s">
        <v>1865</v>
      </c>
      <c r="C10" s="292">
        <v>10944986</v>
      </c>
      <c r="D10" s="9" t="s">
        <v>19</v>
      </c>
      <c r="E10" s="9" t="s">
        <v>20</v>
      </c>
      <c r="F10" s="293" t="s">
        <v>791</v>
      </c>
      <c r="G10" s="293" t="s">
        <v>3581</v>
      </c>
      <c r="H10" s="24" t="s">
        <v>145</v>
      </c>
      <c r="I10" s="24" t="s">
        <v>146</v>
      </c>
      <c r="J10" s="9" t="str">
        <f t="shared" si="0"/>
        <v>Não</v>
      </c>
      <c r="K10" s="298">
        <v>45000</v>
      </c>
      <c r="L10" s="7"/>
      <c r="M10" s="300" t="s">
        <v>242</v>
      </c>
      <c r="N10" s="301">
        <v>1.4999999999999999E-2</v>
      </c>
      <c r="O10" s="6" t="s">
        <v>25</v>
      </c>
      <c r="P10" s="11">
        <v>0</v>
      </c>
      <c r="Q10" s="167"/>
      <c r="R10" s="69" t="s">
        <v>3594</v>
      </c>
      <c r="S10" s="7" t="s">
        <v>127</v>
      </c>
      <c r="T10" s="292" t="s">
        <v>1868</v>
      </c>
      <c r="U10" s="6" t="s">
        <v>20</v>
      </c>
      <c r="V10" s="295" t="e">
        <f t="shared" ca="1" si="1"/>
        <v>#NAME?</v>
      </c>
      <c r="W10" s="7"/>
      <c r="X10" s="7"/>
      <c r="Y10" s="7" t="s">
        <v>240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3579</v>
      </c>
      <c r="B11" s="122" t="s">
        <v>3360</v>
      </c>
      <c r="C11" s="292">
        <v>11071318</v>
      </c>
      <c r="D11" s="9" t="s">
        <v>19</v>
      </c>
      <c r="E11" s="9" t="s">
        <v>20</v>
      </c>
      <c r="F11" s="293" t="s">
        <v>184</v>
      </c>
      <c r="G11" s="293" t="s">
        <v>3581</v>
      </c>
      <c r="H11" s="24" t="s">
        <v>134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127</v>
      </c>
      <c r="T11" s="292" t="s">
        <v>3361</v>
      </c>
      <c r="U11" s="6" t="s">
        <v>20</v>
      </c>
      <c r="V11" s="295" t="e">
        <f t="shared" ca="1" si="1"/>
        <v>#NAME?</v>
      </c>
      <c r="W11" s="7"/>
      <c r="X11" s="7"/>
      <c r="Y11" s="7" t="s">
        <v>240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3579</v>
      </c>
      <c r="B12" s="122" t="s">
        <v>1897</v>
      </c>
      <c r="C12" s="292" t="s">
        <v>3595</v>
      </c>
      <c r="D12" s="9" t="s">
        <v>19</v>
      </c>
      <c r="E12" s="9" t="s">
        <v>20</v>
      </c>
      <c r="F12" s="293" t="s">
        <v>21</v>
      </c>
      <c r="G12" s="293" t="s">
        <v>3581</v>
      </c>
      <c r="H12" s="24" t="s">
        <v>145</v>
      </c>
      <c r="I12" s="24" t="s">
        <v>146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3596</v>
      </c>
      <c r="R12" s="28"/>
      <c r="S12" s="7" t="s">
        <v>127</v>
      </c>
      <c r="T12" s="292" t="s">
        <v>1900</v>
      </c>
      <c r="U12" s="6" t="s">
        <v>20</v>
      </c>
      <c r="V12" s="295" t="e">
        <f t="shared" ca="1" si="1"/>
        <v>#NAME?</v>
      </c>
      <c r="W12" s="7"/>
      <c r="X12" s="7"/>
      <c r="Y12" s="7" t="s">
        <v>240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3579</v>
      </c>
      <c r="B13" s="122" t="s">
        <v>3421</v>
      </c>
      <c r="C13" s="292">
        <v>11026371</v>
      </c>
      <c r="D13" s="9" t="s">
        <v>19</v>
      </c>
      <c r="E13" s="9" t="s">
        <v>20</v>
      </c>
      <c r="F13" s="293" t="s">
        <v>791</v>
      </c>
      <c r="G13" s="293" t="s">
        <v>3581</v>
      </c>
      <c r="H13" s="24" t="s">
        <v>134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185</v>
      </c>
      <c r="N13" s="301">
        <v>1.4999999999999999E-2</v>
      </c>
      <c r="O13" s="6" t="s">
        <v>39</v>
      </c>
      <c r="P13" s="11">
        <v>0.1</v>
      </c>
      <c r="Q13" s="167" t="s">
        <v>3597</v>
      </c>
      <c r="R13" s="303"/>
      <c r="S13" s="7" t="s">
        <v>127</v>
      </c>
      <c r="T13" s="292" t="s">
        <v>3423</v>
      </c>
      <c r="U13" s="6" t="s">
        <v>66</v>
      </c>
      <c r="V13" s="295" t="e">
        <f t="shared" ca="1" si="1"/>
        <v>#NAME?</v>
      </c>
      <c r="W13" s="7"/>
      <c r="X13" s="7"/>
      <c r="Y13" s="7" t="s">
        <v>240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3579</v>
      </c>
      <c r="B14" s="161" t="s">
        <v>2593</v>
      </c>
      <c r="C14" s="292" t="s">
        <v>3598</v>
      </c>
      <c r="D14" s="9" t="s">
        <v>19</v>
      </c>
      <c r="E14" s="9" t="s">
        <v>20</v>
      </c>
      <c r="F14" s="293" t="s">
        <v>437</v>
      </c>
      <c r="G14" s="293" t="s">
        <v>3581</v>
      </c>
      <c r="H14" s="24" t="s">
        <v>134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185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127</v>
      </c>
      <c r="T14" s="293" t="s">
        <v>2595</v>
      </c>
      <c r="U14" s="6" t="s">
        <v>20</v>
      </c>
      <c r="V14" s="295" t="e">
        <f t="shared" ca="1" si="1"/>
        <v>#NAME?</v>
      </c>
      <c r="W14" s="7"/>
      <c r="X14" s="7"/>
      <c r="Y14" s="7" t="s">
        <v>240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3579</v>
      </c>
      <c r="B15" s="122" t="s">
        <v>3599</v>
      </c>
      <c r="C15" s="292" t="s">
        <v>3600</v>
      </c>
      <c r="D15" s="9" t="s">
        <v>19</v>
      </c>
      <c r="E15" s="9" t="s">
        <v>20</v>
      </c>
      <c r="F15" s="293" t="s">
        <v>2963</v>
      </c>
      <c r="G15" s="293" t="s">
        <v>3581</v>
      </c>
      <c r="H15" s="24" t="s">
        <v>134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242</v>
      </c>
      <c r="N15" s="301">
        <v>2.5000000000000001E-2</v>
      </c>
      <c r="O15" s="6" t="s">
        <v>167</v>
      </c>
      <c r="P15" s="11">
        <v>0.2</v>
      </c>
      <c r="Q15" s="28" t="s">
        <v>3601</v>
      </c>
      <c r="R15" s="28"/>
      <c r="S15" s="7" t="s">
        <v>127</v>
      </c>
      <c r="T15" s="292" t="s">
        <v>3602</v>
      </c>
      <c r="U15" s="6" t="s">
        <v>878</v>
      </c>
      <c r="V15" s="295" t="e">
        <f t="shared" ca="1" si="1"/>
        <v>#NAME?</v>
      </c>
      <c r="W15" s="7"/>
      <c r="X15" s="7"/>
      <c r="Y15" s="7" t="s">
        <v>240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2886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2887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2888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2889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5FC98926-A07B-4DFB-82A7-B8D230977B44}" filter="1" showAutoFilter="1">
      <pageMargins left="0.511811024" right="0.511811024" top="0.78740157499999996" bottom="0.78740157499999996" header="0.31496062000000002" footer="0.31496062000000002"/>
      <autoFilter ref="Q2:Q26" xr:uid="{E7085995-1FBF-4FE9-838A-97DEC0DC71D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901C315-A6F4-40C5-97AE-20FEA30D1998}" filter="1" showAutoFilter="1">
      <pageMargins left="0.511811024" right="0.511811024" top="0.78740157499999996" bottom="0.78740157499999996" header="0.31496062000000002" footer="0.31496062000000002"/>
      <autoFilter ref="K2:K26" xr:uid="{24197906-EDC2-47E2-B207-2FF1B53766EA}"/>
    </customSheetView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B2:AH15" xr:uid="{37E201F2-B2CF-404B-B614-311E1668B31B}"/>
    </customSheetView>
    <customSheetView guid="{4D6E5146-1B1B-45BD-81CC-02322B99761B}" filter="1" showAutoFilter="1">
      <pageMargins left="0.511811024" right="0.511811024" top="0.78740157499999996" bottom="0.78740157499999996" header="0.31496062000000002" footer="0.31496062000000002"/>
      <autoFilter ref="K2:K26" xr:uid="{089CDB34-81BF-47B6-B618-C4B3BC721C0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4420EB-207E-4633-B206-EAF63B6BD124}" filter="1" showAutoFilter="1">
      <pageMargins left="0.511811024" right="0.511811024" top="0.78740157499999996" bottom="0.78740157499999996" header="0.31496062000000002" footer="0.31496062000000002"/>
      <autoFilter ref="B2:AF16" xr:uid="{FF0BDD35-9A07-43F6-8B99-B78EAF3FD51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03C712-1F11-42B1-86C9-82B94ACA5738}" filter="1" showAutoFilter="1">
      <pageMargins left="0.511811024" right="0.511811024" top="0.78740157499999996" bottom="0.78740157499999996" header="0.31496062000000002" footer="0.31496062000000002"/>
      <autoFilter ref="B2:Q15" xr:uid="{38D412C7-CBC9-4FD0-8832-9E85AA1C1CA0}">
        <filterColumn colId="13">
          <filters>
            <filter val="IBOVESPA"/>
          </filters>
        </filterColumn>
      </autoFilter>
    </customSheetView>
    <customSheetView guid="{00D0E2B6-F407-4B1C-9AF6-FDC7920B0516}" filter="1" showAutoFilter="1">
      <pageMargins left="0.511811024" right="0.511811024" top="0.78740157499999996" bottom="0.78740157499999996" header="0.31496062000000002" footer="0.31496062000000002"/>
      <autoFilter ref="B2:AF16" xr:uid="{820B9FF6-2667-4C7E-B3F3-C028CF0DA0A3}"/>
    </customSheetView>
    <customSheetView guid="{7695ECAD-052A-41E6-9B10-9855CE143A7A}" filter="1" showAutoFilter="1">
      <pageMargins left="0.511811024" right="0.511811024" top="0.78740157499999996" bottom="0.78740157499999996" header="0.31496062000000002" footer="0.31496062000000002"/>
      <autoFilter ref="D2:K26" xr:uid="{85D96410-F919-46F0-A891-6862999C5F3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3804860-C66F-4AD9-A5ED-DE9B46A8E773}" filter="1" showAutoFilter="1">
      <pageMargins left="0.511811024" right="0.511811024" top="0.78740157499999996" bottom="0.78740157499999996" header="0.31496062000000002" footer="0.31496062000000002"/>
      <autoFilter ref="B2:AD16" xr:uid="{BA716E75-0A6B-4BFE-AF75-42D777455F2F}"/>
    </customSheetView>
    <customSheetView guid="{1973AF07-A6A6-4C06-81E1-DBC5B1B2B7FA}" filter="1" showAutoFilter="1">
      <pageMargins left="0.511811024" right="0.511811024" top="0.78740157499999996" bottom="0.78740157499999996" header="0.31496062000000002" footer="0.31496062000000002"/>
      <autoFilter ref="B2:AG15" xr:uid="{DD731573-56DC-40B5-B9B1-850ECDF5517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5B2B449-1894-49FC-897D-708E9DB34845}" filter="1" showAutoFilter="1">
      <pageMargins left="0.511811024" right="0.511811024" top="0.78740157499999996" bottom="0.78740157499999996" header="0.31496062000000002" footer="0.31496062000000002"/>
      <autoFilter ref="B2:AG15" xr:uid="{4D7C78E2-7273-4B29-A39C-24BB67826BB3}"/>
    </customSheetView>
    <customSheetView guid="{35AFBB65-2A8A-4F75-8E78-9B85B0D5EECC}" filter="1" showAutoFilter="1">
      <pageMargins left="0.511811024" right="0.511811024" top="0.78740157499999996" bottom="0.78740157499999996" header="0.31496062000000002" footer="0.31496062000000002"/>
      <autoFilter ref="B2:AD16" xr:uid="{016A6978-1ED8-4FCD-8970-331BB01D7F08}"/>
    </customSheetView>
    <customSheetView guid="{08C8AD6C-84D0-4BB5-A738-EFBCD0ECB57B}" filter="1" showAutoFilter="1">
      <pageMargins left="0.511811024" right="0.511811024" top="0.78740157499999996" bottom="0.78740157499999996" header="0.31496062000000002" footer="0.31496062000000002"/>
      <autoFilter ref="B2:AD16" xr:uid="{07E44824-2E9B-4075-B085-B0C977344508}"/>
    </customSheetView>
    <customSheetView guid="{42803860-2CA3-409B-89FC-7CB037BF407B}" filter="1" showAutoFilter="1">
      <pageMargins left="0.511811024" right="0.511811024" top="0.78740157499999996" bottom="0.78740157499999996" header="0.31496062000000002" footer="0.31496062000000002"/>
      <autoFilter ref="B2:AG15" xr:uid="{1FAB2849-41B2-4079-B82A-BB4881274B0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94CB357-E3E9-4C1F-891C-43CF83DD63F6}" filter="1" showAutoFilter="1">
      <pageMargins left="0.511811024" right="0.511811024" top="0.78740157499999996" bottom="0.78740157499999996" header="0.31496062000000002" footer="0.31496062000000002"/>
      <autoFilter ref="B2:AF26" xr:uid="{363B4546-FB41-45FE-AFF7-4A6DFCBFF86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6A3A7B-7F9B-4FB7-925E-3EF6CCB76B1A}" filter="1" showAutoFilter="1">
      <pageMargins left="0.511811024" right="0.511811024" top="0.78740157499999996" bottom="0.78740157499999996" header="0.31496062000000002" footer="0.31496062000000002"/>
      <autoFilter ref="B2:AG15" xr:uid="{F5E9B1A8-B5B5-484C-8E3D-EA313920A211}"/>
    </customSheetView>
    <customSheetView guid="{5D44B39B-277B-4C7A-BD8A-5463D70ACC0F}" filter="1" showAutoFilter="1">
      <pageMargins left="0.511811024" right="0.511811024" top="0.78740157499999996" bottom="0.78740157499999996" header="0.31496062000000002" footer="0.31496062000000002"/>
      <autoFilter ref="B2:AF16" xr:uid="{73FF2B42-54BD-4B1C-8485-88BC8F85BA35}"/>
    </customSheetView>
    <customSheetView guid="{FB4C8198-26BA-4D5E-9123-F6888D47CE86}" filter="1" showAutoFilter="1">
      <pageMargins left="0.511811024" right="0.511811024" top="0.78740157499999996" bottom="0.78740157499999996" header="0.31496062000000002" footer="0.31496062000000002"/>
      <autoFilter ref="B2:AG15" xr:uid="{387268C7-E64E-4EF4-82D4-C876E321CF5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F42C4F6-1D6C-4B32-9F79-3A69D826F589}" filter="1" showAutoFilter="1">
      <pageMargins left="0.511811024" right="0.511811024" top="0.78740157499999996" bottom="0.78740157499999996" header="0.31496062000000002" footer="0.31496062000000002"/>
      <autoFilter ref="B2:AG15" xr:uid="{59733A2B-3AA9-4C54-987A-38A00E04162F}"/>
    </customSheetView>
    <customSheetView guid="{AF6A4A4C-C03D-44C0-A538-ECF9B327DA32}" filter="1" showAutoFilter="1">
      <pageMargins left="0.511811024" right="0.511811024" top="0.78740157499999996" bottom="0.78740157499999996" header="0.31496062000000002" footer="0.31496062000000002"/>
      <autoFilter ref="AE2:AE26" xr:uid="{A467301D-2901-4EF2-B16F-78E613BE7F66}"/>
    </customSheetView>
    <customSheetView guid="{E650C049-012D-42F5-91B9-B33E1BEE8CDA}" filter="1" showAutoFilter="1">
      <pageMargins left="0.511811024" right="0.511811024" top="0.78740157499999996" bottom="0.78740157499999996" header="0.31496062000000002" footer="0.31496062000000002"/>
      <autoFilter ref="F2:F26" xr:uid="{7D4C3341-E09F-4D23-BCF2-6D81BAC01A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A38E3F3-D81A-41F1-90F5-02ABD8C231BC}" filter="1" showAutoFilter="1">
      <pageMargins left="0.511811024" right="0.511811024" top="0.78740157499999996" bottom="0.78740157499999996" header="0.31496062000000002" footer="0.31496062000000002"/>
      <autoFilter ref="B2:AF16" xr:uid="{C0B84B3C-B6F6-4F27-8182-E3B33C788DDB}"/>
    </customSheetView>
    <customSheetView guid="{3971B9B5-E64A-4827-A358-4F02E4E81641}" filter="1" showAutoFilter="1">
      <pageMargins left="0.511811024" right="0.511811024" top="0.78740157499999996" bottom="0.78740157499999996" header="0.31496062000000002" footer="0.31496062000000002"/>
      <autoFilter ref="K2:K26" xr:uid="{3EF91549-43EF-42B0-8134-E783FCC73A6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4E90CF-9FC7-4794-A72F-BDD032AE1262}" filter="1" showAutoFilter="1">
      <pageMargins left="0.511811024" right="0.511811024" top="0.78740157499999996" bottom="0.78740157499999996" header="0.31496062000000002" footer="0.31496062000000002"/>
      <autoFilter ref="F2:M26" xr:uid="{359A1E55-3492-4B94-AAD4-2E4B6BCF801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52A1A2-1501-46DF-9C13-63D624E4BB15}" filter="1" showAutoFilter="1">
      <pageMargins left="0.511811024" right="0.511811024" top="0.78740157499999996" bottom="0.78740157499999996" header="0.31496062000000002" footer="0.31496062000000002"/>
      <autoFilter ref="M2:O26" xr:uid="{D7EDAAAB-E01E-4244-BD04-E07E472DFE13}"/>
    </customSheetView>
    <customSheetView guid="{2F7750B9-9992-4A72-83F7-EB5DC96A8C8F}" filter="1" showAutoFilter="1">
      <pageMargins left="0.511811024" right="0.511811024" top="0.78740157499999996" bottom="0.78740157499999996" header="0.31496062000000002" footer="0.31496062000000002"/>
      <autoFilter ref="D2:F26" xr:uid="{F5F9222A-DAD0-4605-B6D4-4097CE95E2FF}"/>
    </customSheetView>
    <customSheetView guid="{B3619D87-CD19-4FFF-AE24-E2AECAB3E2EE}" filter="1" showAutoFilter="1">
      <pageMargins left="0.511811024" right="0.511811024" top="0.78740157499999996" bottom="0.78740157499999996" header="0.31496062000000002" footer="0.31496062000000002"/>
      <autoFilter ref="M2:M26" xr:uid="{4348E847-41E6-48EB-AD74-7093438A9C46}">
        <filterColumn colId="0">
          <filters>
            <filter val="CON"/>
          </filters>
        </filterColumn>
      </autoFilter>
    </customSheetView>
    <customSheetView guid="{5985B50B-589A-4557-BF13-FBD2AA6CBFEF}" filter="1" showAutoFilter="1">
      <pageMargins left="0.511811024" right="0.511811024" top="0.78740157499999996" bottom="0.78740157499999996" header="0.31496062000000002" footer="0.31496062000000002"/>
      <autoFilter ref="B2:AG16" xr:uid="{1FD42D94-DB65-4FAB-9224-3F18DD8A395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F59E872-2FCD-409A-8074-53EFF0E019F8}" filter="1" showAutoFilter="1">
      <pageMargins left="0.511811024" right="0.511811024" top="0.78740157499999996" bottom="0.78740157499999996" header="0.31496062000000002" footer="0.31496062000000002"/>
      <autoFilter ref="AG2:AG26" xr:uid="{06010C32-13A7-4630-8821-57E358B2E2E4}"/>
    </customSheetView>
    <customSheetView guid="{FD98970F-27D3-4F42-B1DD-E0228B704C10}" filter="1" showAutoFilter="1">
      <pageMargins left="0.511811024" right="0.511811024" top="0.78740157499999996" bottom="0.78740157499999996" header="0.31496062000000002" footer="0.31496062000000002"/>
      <autoFilter ref="K2:K26" xr:uid="{0D1B4C8C-3DC7-4C98-9BB9-C8BD065F66BD}"/>
    </customSheetView>
    <customSheetView guid="{28003C19-2592-44F6-BF45-63AC343ABDD2}" filter="1" showAutoFilter="1">
      <pageMargins left="0.511811024" right="0.511811024" top="0.78740157499999996" bottom="0.78740157499999996" header="0.31496062000000002" footer="0.31496062000000002"/>
      <autoFilter ref="B2:AD16" xr:uid="{5884BA31-8F95-45C5-A1FD-935A2185E3B7}"/>
    </customSheetView>
    <customSheetView guid="{283E914E-7EE7-4CCA-8962-BAB60323102B}" filter="1" showAutoFilter="1">
      <pageMargins left="0.511811024" right="0.511811024" top="0.78740157499999996" bottom="0.78740157499999996" header="0.31496062000000002" footer="0.31496062000000002"/>
      <autoFilter ref="F2:F26" xr:uid="{68F211D3-3A52-4037-953E-ECF50516C5F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EF1651-84D8-4F09-8353-391BFF2EC862}" filter="1" showAutoFilter="1">
      <pageMargins left="0.511811024" right="0.511811024" top="0.78740157499999996" bottom="0.78740157499999996" header="0.31496062000000002" footer="0.31496062000000002"/>
      <autoFilter ref="B2:AF16" xr:uid="{368A3042-97FC-4FA9-93F8-B55EACC865E6}">
        <sortState xmlns:xlrd2="http://schemas.microsoft.com/office/spreadsheetml/2017/richdata2" ref="B2:AF16">
          <sortCondition ref="B2:B16"/>
        </sortState>
      </autoFilter>
    </customSheetView>
    <customSheetView guid="{91B4EAA0-B545-45DD-97C2-85BEC594BD66}" filter="1" showAutoFilter="1">
      <pageMargins left="0.511811024" right="0.511811024" top="0.78740157499999996" bottom="0.78740157499999996" header="0.31496062000000002" footer="0.31496062000000002"/>
      <autoFilter ref="D2:F26" xr:uid="{6AF75BD5-C5FB-4026-B4F1-C4E31F1E66F4}"/>
    </customSheetView>
    <customSheetView guid="{31B4B408-8519-4267-A60B-88A51E9F259A}" filter="1" showAutoFilter="1">
      <pageMargins left="0.511811024" right="0.511811024" top="0.78740157499999996" bottom="0.78740157499999996" header="0.31496062000000002" footer="0.31496062000000002"/>
      <autoFilter ref="B2:AF16" xr:uid="{E6D117C2-EB27-496F-AC92-0633A0A7120C}"/>
    </customSheetView>
    <customSheetView guid="{040CB123-C93E-4921-B22E-729A6CA2515A}" filter="1" showAutoFilter="1">
      <pageMargins left="0.511811024" right="0.511811024" top="0.78740157499999996" bottom="0.78740157499999996" header="0.31496062000000002" footer="0.31496062000000002"/>
      <autoFilter ref="AF2:AF26" xr:uid="{532694AF-2AF1-479F-810C-AA96A8FB3D2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A3EEC3D-B852-4E63-9D17-79319870A059}" filter="1" showAutoFilter="1">
      <pageMargins left="0.511811024" right="0.511811024" top="0.78740157499999996" bottom="0.78740157499999996" header="0.31496062000000002" footer="0.31496062000000002"/>
      <autoFilter ref="B2:AD16" xr:uid="{7A5EDBDF-16A0-49F0-9A1D-4DD20E8135F4}"/>
    </customSheetView>
    <customSheetView guid="{C11E39E1-9AD3-453D-964D-3E9891605FEB}" filter="1" showAutoFilter="1">
      <pageMargins left="0.511811024" right="0.511811024" top="0.78740157499999996" bottom="0.78740157499999996" header="0.31496062000000002" footer="0.31496062000000002"/>
      <autoFilter ref="F2:F26" xr:uid="{FC8031CE-7046-483F-BAC7-CFA1C208BE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21AE6D-432F-4D86-9567-D984D5C38E3E}" filter="1" showAutoFilter="1">
      <pageMargins left="0.511811024" right="0.511811024" top="0.78740157499999996" bottom="0.78740157499999996" header="0.31496062000000002" footer="0.31496062000000002"/>
      <autoFilter ref="B2:AF26" xr:uid="{B511B9AB-1BFB-4320-AA95-1F1C7E178188}"/>
    </customSheetView>
    <customSheetView guid="{41D88D91-A03F-4905-86BE-3778DE8CB239}" filter="1" showAutoFilter="1">
      <pageMargins left="0.511811024" right="0.511811024" top="0.78740157499999996" bottom="0.78740157499999996" header="0.31496062000000002" footer="0.31496062000000002"/>
      <autoFilter ref="K2:K26" xr:uid="{577A249C-8CE0-48DF-88C9-233262CD5B0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K2:L26" xr:uid="{6062E43E-51C8-4E9E-A76B-2DED458BBB5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02CE914-A5B4-4C3D-94E2-6CE676CE7F3D}" filter="1" showAutoFilter="1">
      <pageMargins left="0.511811024" right="0.511811024" top="0.78740157499999996" bottom="0.78740157499999996" header="0.31496062000000002" footer="0.31496062000000002"/>
      <autoFilter ref="B2:AF16" xr:uid="{6DAD74DD-BD8D-48C1-8BD6-BE196196D77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34160C-1662-455A-AF1D-912AE025C3B4}" filter="1" showAutoFilter="1">
      <pageMargins left="0.511811024" right="0.511811024" top="0.78740157499999996" bottom="0.78740157499999996" header="0.31496062000000002" footer="0.31496062000000002"/>
      <autoFilter ref="B2:AG15" xr:uid="{E9659DB7-983F-4281-B4A7-E4B82248CD9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E3FF041-F392-4149-A91D-8A0AB6F020F4}" filter="1" showAutoFilter="1">
      <pageMargins left="0.511811024" right="0.511811024" top="0.78740157499999996" bottom="0.78740157499999996" header="0.31496062000000002" footer="0.31496062000000002"/>
      <autoFilter ref="K2:K26" xr:uid="{D64BEE00-C040-495A-8CB5-3E95D05B94A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95CD0BE-DDE7-4A9D-B4C1-035FC2D9EFDC}" filter="1" showAutoFilter="1">
      <pageMargins left="0.511811024" right="0.511811024" top="0.78740157499999996" bottom="0.78740157499999996" header="0.31496062000000002" footer="0.31496062000000002"/>
      <autoFilter ref="B2:AG15" xr:uid="{3748C331-20FF-4AA9-95C1-143EC94BDA4F}"/>
    </customSheetView>
    <customSheetView guid="{BDBC6C63-9C81-4FA7-BDD1-7783C0C5BE8F}" filter="1" showAutoFilter="1">
      <pageMargins left="0.511811024" right="0.511811024" top="0.78740157499999996" bottom="0.78740157499999996" header="0.31496062000000002" footer="0.31496062000000002"/>
      <autoFilter ref="F2:F26" xr:uid="{0898BB5A-AC16-4FD7-A8A0-E1400CE8DB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16E5D7-6B15-4886-AF37-50EDCE1D812A}" filter="1" showAutoFilter="1">
      <pageMargins left="0.511811024" right="0.511811024" top="0.78740157499999996" bottom="0.78740157499999996" header="0.31496062000000002" footer="0.31496062000000002"/>
      <autoFilter ref="B2:AG15" xr:uid="{0D729F61-D6F9-4389-94EA-5608E9C8C784}"/>
    </customSheetView>
    <customSheetView guid="{F5C6209F-0C05-451B-8D21-7C16EB91CF2E}" filter="1" showAutoFilter="1">
      <pageMargins left="0.511811024" right="0.511811024" top="0.78740157499999996" bottom="0.78740157499999996" header="0.31496062000000002" footer="0.31496062000000002"/>
      <autoFilter ref="B2:AD16" xr:uid="{3DFB80BD-98EF-412C-A1C7-B9E65B85BA6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0D030E-B001-479F-B50D-63AC92171C87}" filter="1" showAutoFilter="1">
      <pageMargins left="0.511811024" right="0.511811024" top="0.78740157499999996" bottom="0.78740157499999996" header="0.31496062000000002" footer="0.31496062000000002"/>
      <autoFilter ref="B2:AG15" xr:uid="{0A86A18C-7CA1-4305-8BAC-6286C516BFB6}"/>
    </customSheetView>
    <customSheetView guid="{47DE036D-B20F-44CC-9B9D-1FC12335F326}" filter="1" showAutoFilter="1">
      <pageMargins left="0.511811024" right="0.511811024" top="0.78740157499999996" bottom="0.78740157499999996" header="0.31496062000000002" footer="0.31496062000000002"/>
      <autoFilter ref="F2:F26" xr:uid="{64784145-42BB-4EC4-9182-4DB1760B55E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490E76-A4C7-4701-9522-DF8F08B6EC2D}" filter="1" showAutoFilter="1">
      <pageMargins left="0.511811024" right="0.511811024" top="0.78740157499999996" bottom="0.78740157499999996" header="0.31496062000000002" footer="0.31496062000000002"/>
      <autoFilter ref="B2:AG15" xr:uid="{F4BD8FC1-61E0-472F-9623-EC4F198EC4BE}"/>
    </customSheetView>
    <customSheetView guid="{44C28A3A-F9E3-4AFE-B9E9-255038725DDE}" filter="1" showAutoFilter="1">
      <pageMargins left="0.511811024" right="0.511811024" top="0.78740157499999996" bottom="0.78740157499999996" header="0.31496062000000002" footer="0.31496062000000002"/>
      <autoFilter ref="B2:AD16" xr:uid="{92F38A08-3C98-4FAF-A813-28255A5913BD}"/>
    </customSheetView>
    <customSheetView guid="{A849DA94-1418-424D-BCA5-7A2C4F887372}" filter="1" showAutoFilter="1">
      <pageMargins left="0.511811024" right="0.511811024" top="0.78740157499999996" bottom="0.78740157499999996" header="0.31496062000000002" footer="0.31496062000000002"/>
      <autoFilter ref="F2:F26" xr:uid="{243F9B45-632C-43C5-8C37-AA77CC553F06}"/>
    </customSheetView>
    <customSheetView guid="{BF288C53-1972-433C-9389-E9BF4DCD7A4B}" filter="1" showAutoFilter="1">
      <pageMargins left="0.511811024" right="0.511811024" top="0.78740157499999996" bottom="0.78740157499999996" header="0.31496062000000002" footer="0.31496062000000002"/>
      <autoFilter ref="F2:AF26" xr:uid="{609BEE24-EAE9-43A6-9CB3-BAD92BADE62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372FA21-B41A-4AFA-8E15-B6E16AD4F49A}" filter="1" showAutoFilter="1">
      <pageMargins left="0.511811024" right="0.511811024" top="0.78740157499999996" bottom="0.78740157499999996" header="0.31496062000000002" footer="0.31496062000000002"/>
      <autoFilter ref="AG2:AG26" xr:uid="{6E81F8A0-1FAB-449D-971F-A5E348DC8387}"/>
    </customSheetView>
    <customSheetView guid="{8C0B501E-5A4F-4189-B349-41D142F46CB1}" filter="1" showAutoFilter="1">
      <pageMargins left="0.511811024" right="0.511811024" top="0.78740157499999996" bottom="0.78740157499999996" header="0.31496062000000002" footer="0.31496062000000002"/>
      <autoFilter ref="E2:F26" xr:uid="{B92EBE57-DB96-4C28-B5BC-882D1BF25535}"/>
    </customSheetView>
    <customSheetView guid="{14528097-6D5E-45E5-A988-73D13BE966AE}" filter="1" showAutoFilter="1">
      <pageMargins left="0.511811024" right="0.511811024" top="0.78740157499999996" bottom="0.78740157499999996" header="0.31496062000000002" footer="0.31496062000000002"/>
      <autoFilter ref="B2:AG26" xr:uid="{6CF62A43-3736-411E-B09C-3887F7D3F3A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45C5F7D-BAA2-4A70-92B3-2AE23BE4CEB4}" filter="1" showAutoFilter="1">
      <pageMargins left="0.511811024" right="0.511811024" top="0.78740157499999996" bottom="0.78740157499999996" header="0.31496062000000002" footer="0.31496062000000002"/>
      <autoFilter ref="D2:F26" xr:uid="{D54C4623-42CC-41C9-A73D-9B0178B733E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E1A573-7F5C-4165-AEAB-13C2F8CBD466}" filter="1" showAutoFilter="1">
      <pageMargins left="0.511811024" right="0.511811024" top="0.78740157499999996" bottom="0.78740157499999996" header="0.31496062000000002" footer="0.31496062000000002"/>
      <autoFilter ref="D2:AF26" xr:uid="{BA5FCE8A-F261-4A8B-9360-B7D36C0D500B}"/>
    </customSheetView>
    <customSheetView guid="{5AE29003-739D-420D-B90A-30B0A15E139C}" filter="1" showAutoFilter="1">
      <pageMargins left="0.511811024" right="0.511811024" top="0.78740157499999996" bottom="0.78740157499999996" header="0.31496062000000002" footer="0.31496062000000002"/>
      <autoFilter ref="D2:F26" xr:uid="{1DE4644A-B97B-4D76-83A0-89D221AD9D91}"/>
    </customSheetView>
    <customSheetView guid="{23B9B2B3-A936-4DBD-88B3-0A988C85FAAA}" filter="1" showAutoFilter="1">
      <pageMargins left="0.511811024" right="0.511811024" top="0.78740157499999996" bottom="0.78740157499999996" header="0.31496062000000002" footer="0.31496062000000002"/>
      <autoFilter ref="D2:AF26" xr:uid="{B38AA978-8DB6-4B70-8ADB-693D4569A223}"/>
    </customSheetView>
    <customSheetView guid="{EC1DCC0D-E129-4C74-BE3D-43D480D0867F}" filter="1" showAutoFilter="1">
      <pageMargins left="0.511811024" right="0.511811024" top="0.78740157499999996" bottom="0.78740157499999996" header="0.31496062000000002" footer="0.31496062000000002"/>
      <autoFilter ref="B2:AG26" xr:uid="{BF2D2D13-A64F-4CD7-B84E-E7AC50E41C70}"/>
    </customSheetView>
    <customSheetView guid="{377BE576-1A61-4B92-81BE-0D74B3709F1F}" filter="1" showAutoFilter="1">
      <pageMargins left="0.511811024" right="0.511811024" top="0.78740157499999996" bottom="0.78740157499999996" header="0.31496062000000002" footer="0.31496062000000002"/>
      <autoFilter ref="D2:F26" xr:uid="{B449B376-540D-4F63-982E-98E19FB362B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4" t="s">
        <v>74</v>
      </c>
      <c r="B1" s="645"/>
      <c r="C1" s="645"/>
      <c r="D1" s="645"/>
      <c r="E1" s="645"/>
      <c r="F1" s="645"/>
      <c r="G1" s="330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645"/>
      <c r="Z1" s="645"/>
      <c r="AA1" s="645"/>
      <c r="AB1" s="645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  <c r="BB1" s="19" t="s">
        <v>78</v>
      </c>
      <c r="BC1" s="19" t="s">
        <v>78</v>
      </c>
      <c r="BD1" s="19" t="s">
        <v>78</v>
      </c>
      <c r="BE1" s="19" t="s">
        <v>78</v>
      </c>
      <c r="BF1" s="19" t="s">
        <v>78</v>
      </c>
      <c r="BG1" s="19" t="s">
        <v>78</v>
      </c>
      <c r="BH1" s="19" t="s">
        <v>78</v>
      </c>
      <c r="BI1" s="19" t="s">
        <v>78</v>
      </c>
      <c r="BJ1" s="19" t="s">
        <v>78</v>
      </c>
      <c r="BK1" s="19" t="s">
        <v>78</v>
      </c>
      <c r="BL1" s="19" t="s">
        <v>78</v>
      </c>
      <c r="BM1" s="19" t="s">
        <v>78</v>
      </c>
      <c r="BN1" s="19" t="s">
        <v>78</v>
      </c>
      <c r="BO1" s="19" t="s">
        <v>78</v>
      </c>
      <c r="BP1" s="19" t="s">
        <v>78</v>
      </c>
      <c r="BQ1" s="19" t="s">
        <v>78</v>
      </c>
      <c r="BR1" s="19" t="s">
        <v>78</v>
      </c>
      <c r="BS1" s="19" t="s">
        <v>78</v>
      </c>
      <c r="BT1" s="19" t="s">
        <v>78</v>
      </c>
      <c r="BU1" s="19" t="s">
        <v>78</v>
      </c>
      <c r="BV1" s="19" t="s">
        <v>78</v>
      </c>
      <c r="BW1" s="19" t="s">
        <v>78</v>
      </c>
      <c r="BX1" s="19" t="s">
        <v>78</v>
      </c>
      <c r="BY1" s="19" t="s">
        <v>78</v>
      </c>
      <c r="BZ1" s="19" t="s">
        <v>78</v>
      </c>
      <c r="CA1" s="19" t="s">
        <v>78</v>
      </c>
      <c r="CB1" s="19" t="s">
        <v>78</v>
      </c>
      <c r="CC1" s="19" t="s">
        <v>78</v>
      </c>
      <c r="CD1" s="19" t="s">
        <v>78</v>
      </c>
      <c r="CE1" s="19" t="s">
        <v>78</v>
      </c>
      <c r="CF1" s="19" t="s">
        <v>78</v>
      </c>
      <c r="CG1" s="19" t="s">
        <v>78</v>
      </c>
      <c r="CH1" s="19" t="s">
        <v>78</v>
      </c>
      <c r="CI1" s="19" t="s">
        <v>78</v>
      </c>
      <c r="CJ1" s="19" t="s">
        <v>78</v>
      </c>
      <c r="CK1" s="19" t="s">
        <v>78</v>
      </c>
    </row>
    <row r="2" spans="1:89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3603</v>
      </c>
      <c r="AD2" s="20" t="s">
        <v>3604</v>
      </c>
      <c r="AE2" s="20" t="s">
        <v>3605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3606</v>
      </c>
      <c r="AM2" s="231" t="s">
        <v>2899</v>
      </c>
      <c r="AN2" s="331" t="s">
        <v>3607</v>
      </c>
      <c r="AO2" s="331" t="s">
        <v>2901</v>
      </c>
      <c r="AP2" s="331" t="s">
        <v>3608</v>
      </c>
      <c r="AQ2" s="331" t="s">
        <v>2903</v>
      </c>
      <c r="AR2" s="331" t="s">
        <v>2904</v>
      </c>
      <c r="AS2" s="331" t="s">
        <v>2905</v>
      </c>
      <c r="AT2" s="331" t="s">
        <v>2906</v>
      </c>
      <c r="AU2" s="331" t="s">
        <v>2907</v>
      </c>
      <c r="AV2" s="331" t="s">
        <v>3609</v>
      </c>
      <c r="AW2" s="331" t="s">
        <v>2909</v>
      </c>
      <c r="AX2" s="331" t="s">
        <v>3610</v>
      </c>
      <c r="AY2" s="331" t="s">
        <v>2911</v>
      </c>
      <c r="AZ2" s="331" t="s">
        <v>2912</v>
      </c>
      <c r="BA2" s="331" t="s">
        <v>2913</v>
      </c>
      <c r="BB2" s="331" t="s">
        <v>2914</v>
      </c>
      <c r="BC2" s="331" t="s">
        <v>2915</v>
      </c>
      <c r="BD2" s="21" t="s">
        <v>2916</v>
      </c>
      <c r="BE2" s="21" t="s">
        <v>3611</v>
      </c>
      <c r="BF2" s="21" t="s">
        <v>2918</v>
      </c>
      <c r="BG2" s="21" t="s">
        <v>3612</v>
      </c>
      <c r="BH2" s="21" t="s">
        <v>2921</v>
      </c>
      <c r="BI2" s="21" t="s">
        <v>2922</v>
      </c>
      <c r="BJ2" s="21" t="s">
        <v>2923</v>
      </c>
      <c r="BK2" s="21" t="s">
        <v>2924</v>
      </c>
      <c r="BL2" s="21" t="s">
        <v>2925</v>
      </c>
      <c r="BM2" s="21" t="s">
        <v>2926</v>
      </c>
      <c r="BN2" s="21" t="s">
        <v>97</v>
      </c>
      <c r="BO2" s="21" t="s">
        <v>98</v>
      </c>
      <c r="BP2" s="21" t="s">
        <v>99</v>
      </c>
      <c r="BQ2" s="21" t="s">
        <v>100</v>
      </c>
      <c r="BR2" s="21" t="s">
        <v>101</v>
      </c>
      <c r="BS2" s="21" t="s">
        <v>102</v>
      </c>
      <c r="BT2" s="331" t="s">
        <v>103</v>
      </c>
      <c r="BU2" s="331" t="s">
        <v>104</v>
      </c>
      <c r="BV2" s="331" t="s">
        <v>105</v>
      </c>
      <c r="BW2" s="331" t="s">
        <v>106</v>
      </c>
      <c r="BX2" s="331" t="s">
        <v>107</v>
      </c>
      <c r="BY2" s="331" t="s">
        <v>108</v>
      </c>
      <c r="BZ2" s="331" t="s">
        <v>109</v>
      </c>
      <c r="CA2" s="331" t="s">
        <v>110</v>
      </c>
      <c r="CB2" s="331" t="s">
        <v>111</v>
      </c>
      <c r="CC2" s="331" t="s">
        <v>112</v>
      </c>
      <c r="CD2" s="331" t="s">
        <v>113</v>
      </c>
      <c r="CE2" s="331" t="s">
        <v>114</v>
      </c>
      <c r="CF2" s="331" t="s">
        <v>115</v>
      </c>
      <c r="CG2" s="331" t="s">
        <v>116</v>
      </c>
      <c r="CH2" s="331" t="s">
        <v>117</v>
      </c>
      <c r="CI2" s="331" t="s">
        <v>118</v>
      </c>
      <c r="CJ2" s="331" t="s">
        <v>119</v>
      </c>
      <c r="CK2" s="331" t="s">
        <v>120</v>
      </c>
    </row>
    <row r="3" spans="1:89" ht="15.75" customHeight="1">
      <c r="A3" s="332" t="s">
        <v>3613</v>
      </c>
      <c r="B3" s="332" t="s">
        <v>3614</v>
      </c>
      <c r="C3" s="333" t="s">
        <v>3615</v>
      </c>
      <c r="D3" s="9" t="s">
        <v>19</v>
      </c>
      <c r="E3" s="9" t="s">
        <v>20</v>
      </c>
      <c r="F3" s="123" t="s">
        <v>21</v>
      </c>
      <c r="G3" s="123" t="s">
        <v>3581</v>
      </c>
      <c r="H3" s="334" t="s">
        <v>125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171</v>
      </c>
      <c r="T3" s="125" t="s">
        <v>3616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3613</v>
      </c>
      <c r="B4" s="338" t="s">
        <v>279</v>
      </c>
      <c r="C4" s="341" t="s">
        <v>3617</v>
      </c>
      <c r="D4" s="9" t="s">
        <v>19</v>
      </c>
      <c r="E4" s="9" t="s">
        <v>20</v>
      </c>
      <c r="F4" s="342" t="s">
        <v>184</v>
      </c>
      <c r="G4" s="123" t="s">
        <v>3581</v>
      </c>
      <c r="H4" s="334" t="s">
        <v>145</v>
      </c>
      <c r="I4" s="24" t="s">
        <v>897</v>
      </c>
      <c r="J4" s="9" t="str">
        <f t="shared" si="0"/>
        <v>Não</v>
      </c>
      <c r="K4" s="298">
        <v>44075</v>
      </c>
      <c r="L4" s="343"/>
      <c r="M4" s="300" t="s">
        <v>185</v>
      </c>
      <c r="N4" s="301">
        <v>1.4999999999999999E-2</v>
      </c>
      <c r="O4" s="6" t="s">
        <v>25</v>
      </c>
      <c r="P4" s="11">
        <v>0</v>
      </c>
      <c r="Q4" s="332"/>
      <c r="R4" s="28" t="s">
        <v>3618</v>
      </c>
      <c r="S4" s="7" t="s">
        <v>127</v>
      </c>
      <c r="T4" s="300" t="s">
        <v>281</v>
      </c>
      <c r="U4" s="344" t="s">
        <v>282</v>
      </c>
      <c r="V4" s="337" t="e">
        <f t="shared" ca="1" si="1"/>
        <v>#NAME?</v>
      </c>
      <c r="W4" s="7"/>
      <c r="X4" s="7"/>
      <c r="Y4" s="7" t="s">
        <v>240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3613</v>
      </c>
      <c r="B5" s="345" t="s">
        <v>3619</v>
      </c>
      <c r="C5" s="346" t="s">
        <v>3620</v>
      </c>
      <c r="D5" s="9" t="s">
        <v>19</v>
      </c>
      <c r="E5" s="9" t="s">
        <v>20</v>
      </c>
      <c r="F5" s="342" t="s">
        <v>195</v>
      </c>
      <c r="G5" s="123" t="s">
        <v>3581</v>
      </c>
      <c r="H5" s="334" t="s">
        <v>134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127</v>
      </c>
      <c r="T5" s="342" t="s">
        <v>3621</v>
      </c>
      <c r="U5" s="344" t="s">
        <v>20</v>
      </c>
      <c r="V5" s="337" t="e">
        <f t="shared" ca="1" si="1"/>
        <v>#NAME?</v>
      </c>
      <c r="W5" s="7"/>
      <c r="X5" s="7"/>
      <c r="Y5" s="7" t="s">
        <v>240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3613</v>
      </c>
      <c r="B6" s="338" t="s">
        <v>3622</v>
      </c>
      <c r="C6" s="341" t="s">
        <v>3623</v>
      </c>
      <c r="D6" s="9" t="s">
        <v>19</v>
      </c>
      <c r="E6" s="9" t="s">
        <v>20</v>
      </c>
      <c r="F6" s="300" t="s">
        <v>3624</v>
      </c>
      <c r="G6" s="123" t="s">
        <v>3581</v>
      </c>
      <c r="H6" s="334" t="s">
        <v>125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333</v>
      </c>
      <c r="N6" s="301">
        <v>0.02</v>
      </c>
      <c r="O6" s="6" t="s">
        <v>39</v>
      </c>
      <c r="P6" s="11">
        <v>0.2</v>
      </c>
      <c r="Q6" s="33" t="s">
        <v>3625</v>
      </c>
      <c r="R6" s="28"/>
      <c r="S6" s="7" t="s">
        <v>127</v>
      </c>
      <c r="T6" s="300" t="s">
        <v>3626</v>
      </c>
      <c r="U6" s="344" t="s">
        <v>20</v>
      </c>
      <c r="V6" s="337" t="e">
        <f t="shared" ca="1" si="1"/>
        <v>#NAME?</v>
      </c>
      <c r="W6" s="7"/>
      <c r="X6" s="7"/>
      <c r="Y6" s="7" t="s">
        <v>240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2940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3613</v>
      </c>
      <c r="B7" s="338" t="s">
        <v>3627</v>
      </c>
      <c r="C7" s="341" t="s">
        <v>3628</v>
      </c>
      <c r="D7" s="9" t="s">
        <v>19</v>
      </c>
      <c r="E7" s="9" t="s">
        <v>20</v>
      </c>
      <c r="F7" s="342" t="s">
        <v>437</v>
      </c>
      <c r="G7" s="123" t="s">
        <v>3581</v>
      </c>
      <c r="H7" s="334" t="s">
        <v>145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242</v>
      </c>
      <c r="N7" s="349">
        <v>0.02</v>
      </c>
      <c r="O7" s="6" t="s">
        <v>167</v>
      </c>
      <c r="P7" s="11">
        <v>0.2</v>
      </c>
      <c r="Q7" s="332"/>
      <c r="R7" s="28"/>
      <c r="S7" s="7" t="s">
        <v>127</v>
      </c>
      <c r="T7" s="300" t="s">
        <v>3000</v>
      </c>
      <c r="U7" s="344" t="s">
        <v>878</v>
      </c>
      <c r="V7" s="337" t="e">
        <f t="shared" ca="1" si="1"/>
        <v>#NAME?</v>
      </c>
      <c r="W7" s="7"/>
      <c r="X7" s="7"/>
      <c r="Y7" s="7" t="s">
        <v>240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2940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3613</v>
      </c>
      <c r="B8" s="351" t="s">
        <v>499</v>
      </c>
      <c r="C8" s="341" t="s">
        <v>3629</v>
      </c>
      <c r="D8" s="9" t="s">
        <v>19</v>
      </c>
      <c r="E8" s="9" t="s">
        <v>20</v>
      </c>
      <c r="F8" s="342" t="s">
        <v>184</v>
      </c>
      <c r="G8" s="123" t="s">
        <v>3581</v>
      </c>
      <c r="H8" s="334" t="s">
        <v>145</v>
      </c>
      <c r="I8" s="24" t="s">
        <v>146</v>
      </c>
      <c r="J8" s="9" t="str">
        <f>IF(R8=0,"Não","Sim")</f>
        <v>Sim</v>
      </c>
      <c r="K8" s="298">
        <v>43934</v>
      </c>
      <c r="L8" s="343"/>
      <c r="M8" s="300" t="s">
        <v>333</v>
      </c>
      <c r="N8" s="301">
        <v>0.02</v>
      </c>
      <c r="O8" s="6" t="s">
        <v>39</v>
      </c>
      <c r="P8" s="11">
        <v>0.2</v>
      </c>
      <c r="Q8" s="332"/>
      <c r="R8" s="352" t="s">
        <v>3630</v>
      </c>
      <c r="S8" s="7" t="s">
        <v>127</v>
      </c>
      <c r="T8" s="300" t="s">
        <v>501</v>
      </c>
      <c r="U8" s="344" t="s">
        <v>20</v>
      </c>
      <c r="V8" s="337" t="e">
        <f t="shared" ca="1" si="1"/>
        <v>#NAME?</v>
      </c>
      <c r="W8" s="7"/>
      <c r="X8" s="7"/>
      <c r="Y8" s="7" t="s">
        <v>240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3613</v>
      </c>
      <c r="B9" s="338" t="s">
        <v>3032</v>
      </c>
      <c r="C9" s="341" t="s">
        <v>3631</v>
      </c>
      <c r="D9" s="9" t="s">
        <v>19</v>
      </c>
      <c r="E9" s="9" t="s">
        <v>20</v>
      </c>
      <c r="F9" s="342" t="s">
        <v>3080</v>
      </c>
      <c r="G9" s="123" t="s">
        <v>3581</v>
      </c>
      <c r="H9" s="334" t="s">
        <v>145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333</v>
      </c>
      <c r="N9" s="349">
        <v>0.01</v>
      </c>
      <c r="O9" s="6" t="s">
        <v>39</v>
      </c>
      <c r="P9" s="11">
        <v>0.15</v>
      </c>
      <c r="Q9" s="33" t="s">
        <v>3625</v>
      </c>
      <c r="R9" s="69"/>
      <c r="S9" s="7" t="s">
        <v>127</v>
      </c>
      <c r="T9" s="300" t="s">
        <v>3034</v>
      </c>
      <c r="U9" s="344" t="s">
        <v>20</v>
      </c>
      <c r="V9" s="337" t="e">
        <f t="shared" ca="1" si="1"/>
        <v>#NAME?</v>
      </c>
      <c r="W9" s="7"/>
      <c r="X9" s="7"/>
      <c r="Y9" s="7" t="s">
        <v>240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2940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3613</v>
      </c>
      <c r="B10" s="338" t="s">
        <v>3632</v>
      </c>
      <c r="C10" s="346" t="s">
        <v>3633</v>
      </c>
      <c r="D10" s="9" t="s">
        <v>19</v>
      </c>
      <c r="E10" s="9" t="s">
        <v>20</v>
      </c>
      <c r="F10" s="342" t="s">
        <v>3080</v>
      </c>
      <c r="G10" s="123" t="s">
        <v>3581</v>
      </c>
      <c r="H10" s="334" t="s">
        <v>145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127</v>
      </c>
      <c r="T10" s="300" t="s">
        <v>3634</v>
      </c>
      <c r="U10" s="344" t="s">
        <v>20</v>
      </c>
      <c r="V10" s="337" t="e">
        <f t="shared" ca="1" si="1"/>
        <v>#NAME?</v>
      </c>
      <c r="W10" s="7"/>
      <c r="X10" s="7"/>
      <c r="Y10" s="7" t="s">
        <v>240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3613</v>
      </c>
      <c r="B11" s="338" t="s">
        <v>3635</v>
      </c>
      <c r="C11" s="346" t="s">
        <v>3636</v>
      </c>
      <c r="D11" s="9" t="s">
        <v>19</v>
      </c>
      <c r="E11" s="9" t="s">
        <v>20</v>
      </c>
      <c r="F11" s="342" t="s">
        <v>19</v>
      </c>
      <c r="G11" s="123" t="s">
        <v>3581</v>
      </c>
      <c r="H11" s="334" t="s">
        <v>145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127</v>
      </c>
      <c r="T11" s="300" t="s">
        <v>3637</v>
      </c>
      <c r="U11" s="344" t="s">
        <v>20</v>
      </c>
      <c r="V11" s="337" t="e">
        <f t="shared" ca="1" si="1"/>
        <v>#NAME?</v>
      </c>
      <c r="W11" s="7"/>
      <c r="X11" s="7"/>
      <c r="Y11" s="7" t="s">
        <v>240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3613</v>
      </c>
      <c r="B12" s="338" t="s">
        <v>3638</v>
      </c>
      <c r="C12" s="346" t="s">
        <v>3639</v>
      </c>
      <c r="D12" s="9" t="s">
        <v>46</v>
      </c>
      <c r="E12" s="9" t="s">
        <v>20</v>
      </c>
      <c r="F12" s="342" t="s">
        <v>3640</v>
      </c>
      <c r="G12" s="123" t="s">
        <v>3581</v>
      </c>
      <c r="H12" s="334" t="s">
        <v>125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127</v>
      </c>
      <c r="T12" s="300" t="s">
        <v>3641</v>
      </c>
      <c r="U12" s="344" t="s">
        <v>20</v>
      </c>
      <c r="V12" s="337" t="e">
        <f t="shared" ca="1" si="1"/>
        <v>#NAME?</v>
      </c>
      <c r="W12" s="7"/>
      <c r="X12" s="7"/>
      <c r="Y12" s="7" t="s">
        <v>240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3613</v>
      </c>
      <c r="B13" s="338" t="s">
        <v>3642</v>
      </c>
      <c r="C13" s="346" t="s">
        <v>3643</v>
      </c>
      <c r="D13" s="9" t="s">
        <v>19</v>
      </c>
      <c r="E13" s="9" t="s">
        <v>20</v>
      </c>
      <c r="F13" s="342" t="s">
        <v>3080</v>
      </c>
      <c r="G13" s="123" t="s">
        <v>3581</v>
      </c>
      <c r="H13" s="334" t="s">
        <v>125</v>
      </c>
      <c r="I13" s="24" t="s">
        <v>25</v>
      </c>
      <c r="J13" s="9" t="str">
        <f t="shared" si="2"/>
        <v>Não</v>
      </c>
      <c r="K13" s="298" t="s">
        <v>3644</v>
      </c>
      <c r="L13" s="343"/>
      <c r="M13" s="300" t="s">
        <v>185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127</v>
      </c>
      <c r="T13" s="300" t="s">
        <v>3645</v>
      </c>
      <c r="U13" s="344" t="s">
        <v>20</v>
      </c>
      <c r="V13" s="337" t="e">
        <f t="shared" ca="1" si="1"/>
        <v>#NAME?</v>
      </c>
      <c r="W13" s="7"/>
      <c r="X13" s="7"/>
      <c r="Y13" s="7" t="s">
        <v>240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2940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3613</v>
      </c>
      <c r="B14" s="338" t="s">
        <v>1063</v>
      </c>
      <c r="C14" s="341" t="s">
        <v>3646</v>
      </c>
      <c r="D14" s="9" t="s">
        <v>19</v>
      </c>
      <c r="E14" s="9" t="s">
        <v>20</v>
      </c>
      <c r="F14" s="342" t="s">
        <v>3647</v>
      </c>
      <c r="G14" s="123" t="s">
        <v>3581</v>
      </c>
      <c r="H14" s="334" t="s">
        <v>145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242</v>
      </c>
      <c r="N14" s="349">
        <v>2.3E-2</v>
      </c>
      <c r="O14" s="6" t="s">
        <v>167</v>
      </c>
      <c r="P14" s="11">
        <v>0.2</v>
      </c>
      <c r="Q14" s="332" t="s">
        <v>3648</v>
      </c>
      <c r="R14" s="92" t="s">
        <v>3649</v>
      </c>
      <c r="S14" s="7" t="s">
        <v>127</v>
      </c>
      <c r="T14" s="300" t="s">
        <v>1066</v>
      </c>
      <c r="U14" s="344" t="s">
        <v>48</v>
      </c>
      <c r="V14" s="337" t="e">
        <f t="shared" ca="1" si="1"/>
        <v>#NAME?</v>
      </c>
      <c r="W14" s="7"/>
      <c r="X14" s="7"/>
      <c r="Y14" s="7" t="s">
        <v>240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3613</v>
      </c>
      <c r="B15" s="338" t="s">
        <v>3650</v>
      </c>
      <c r="C15" s="341" t="s">
        <v>3651</v>
      </c>
      <c r="D15" s="9" t="s">
        <v>2931</v>
      </c>
      <c r="E15" s="9" t="s">
        <v>20</v>
      </c>
      <c r="F15" s="342" t="s">
        <v>2931</v>
      </c>
      <c r="G15" s="123" t="s">
        <v>3581</v>
      </c>
      <c r="H15" s="334" t="s">
        <v>145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242</v>
      </c>
      <c r="N15" s="349">
        <v>2.5000000000000001E-2</v>
      </c>
      <c r="O15" s="6" t="s">
        <v>167</v>
      </c>
      <c r="P15" s="11">
        <v>0.2</v>
      </c>
      <c r="Q15" s="332"/>
      <c r="R15" s="353"/>
      <c r="S15" s="7" t="s">
        <v>127</v>
      </c>
      <c r="T15" s="300" t="s">
        <v>3652</v>
      </c>
      <c r="U15" s="344" t="s">
        <v>3653</v>
      </c>
      <c r="V15" s="337" t="e">
        <f t="shared" ca="1" si="1"/>
        <v>#NAME?</v>
      </c>
      <c r="W15" s="7"/>
      <c r="X15" s="7"/>
      <c r="Y15" s="7" t="s">
        <v>240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3613</v>
      </c>
      <c r="B16" s="338" t="s">
        <v>3654</v>
      </c>
      <c r="C16" s="341" t="s">
        <v>3655</v>
      </c>
      <c r="D16" s="9" t="s">
        <v>19</v>
      </c>
      <c r="E16" s="9" t="s">
        <v>20</v>
      </c>
      <c r="F16" s="300" t="s">
        <v>184</v>
      </c>
      <c r="G16" s="123" t="s">
        <v>3581</v>
      </c>
      <c r="H16" s="334" t="s">
        <v>134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127</v>
      </c>
      <c r="T16" s="300" t="s">
        <v>3656</v>
      </c>
      <c r="U16" s="344" t="s">
        <v>20</v>
      </c>
      <c r="V16" s="337" t="e">
        <f t="shared" ca="1" si="1"/>
        <v>#NAME?</v>
      </c>
      <c r="W16" s="7"/>
      <c r="X16" s="7"/>
      <c r="Y16" s="7" t="s">
        <v>240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3613</v>
      </c>
      <c r="B17" s="338" t="s">
        <v>3657</v>
      </c>
      <c r="C17" s="341" t="s">
        <v>3658</v>
      </c>
      <c r="D17" s="9" t="s">
        <v>19</v>
      </c>
      <c r="E17" s="9" t="s">
        <v>20</v>
      </c>
      <c r="F17" s="300" t="s">
        <v>3659</v>
      </c>
      <c r="G17" s="123" t="s">
        <v>3581</v>
      </c>
      <c r="H17" s="334" t="s">
        <v>125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127</v>
      </c>
      <c r="T17" s="300" t="s">
        <v>3660</v>
      </c>
      <c r="U17" s="344" t="s">
        <v>20</v>
      </c>
      <c r="V17" s="337" t="e">
        <f t="shared" ca="1" si="1"/>
        <v>#NAME?</v>
      </c>
      <c r="W17" s="7"/>
      <c r="X17" s="7"/>
      <c r="Y17" s="7" t="s">
        <v>240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2940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3613</v>
      </c>
      <c r="B18" s="338" t="s">
        <v>1658</v>
      </c>
      <c r="C18" s="341" t="s">
        <v>3661</v>
      </c>
      <c r="D18" s="9" t="s">
        <v>19</v>
      </c>
      <c r="E18" s="9" t="s">
        <v>20</v>
      </c>
      <c r="F18" s="342" t="s">
        <v>791</v>
      </c>
      <c r="G18" s="123" t="s">
        <v>3581</v>
      </c>
      <c r="H18" s="334" t="s">
        <v>145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3662</v>
      </c>
      <c r="S18" s="7" t="s">
        <v>127</v>
      </c>
      <c r="T18" s="300" t="s">
        <v>1660</v>
      </c>
      <c r="U18" s="344" t="s">
        <v>20</v>
      </c>
      <c r="V18" s="337" t="e">
        <f t="shared" ca="1" si="1"/>
        <v>#NAME?</v>
      </c>
      <c r="W18" s="7"/>
      <c r="X18" s="7"/>
      <c r="Y18" s="7" t="s">
        <v>240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3613</v>
      </c>
      <c r="B19" s="338" t="s">
        <v>3663</v>
      </c>
      <c r="C19" s="341" t="s">
        <v>3664</v>
      </c>
      <c r="D19" s="9" t="s">
        <v>19</v>
      </c>
      <c r="E19" s="9" t="s">
        <v>20</v>
      </c>
      <c r="F19" s="300" t="s">
        <v>2518</v>
      </c>
      <c r="G19" s="123" t="s">
        <v>3581</v>
      </c>
      <c r="H19" s="334" t="s">
        <v>125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127</v>
      </c>
      <c r="T19" s="300" t="s">
        <v>1672</v>
      </c>
      <c r="U19" s="344" t="s">
        <v>20</v>
      </c>
      <c r="V19" s="337" t="e">
        <f t="shared" ca="1" si="1"/>
        <v>#NAME?</v>
      </c>
      <c r="W19" s="7"/>
      <c r="X19" s="7"/>
      <c r="Y19" s="7" t="s">
        <v>240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3613</v>
      </c>
      <c r="B20" s="338" t="s">
        <v>3665</v>
      </c>
      <c r="C20" s="341" t="s">
        <v>3666</v>
      </c>
      <c r="D20" s="9" t="s">
        <v>19</v>
      </c>
      <c r="E20" s="9" t="s">
        <v>20</v>
      </c>
      <c r="F20" s="342" t="s">
        <v>3667</v>
      </c>
      <c r="G20" s="123" t="s">
        <v>3581</v>
      </c>
      <c r="H20" s="334" t="s">
        <v>145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127</v>
      </c>
      <c r="T20" s="300" t="s">
        <v>3668</v>
      </c>
      <c r="U20" s="344" t="s">
        <v>66</v>
      </c>
      <c r="V20" s="337" t="e">
        <f t="shared" ca="1" si="1"/>
        <v>#NAME?</v>
      </c>
      <c r="W20" s="7"/>
      <c r="X20" s="7"/>
      <c r="Y20" s="7" t="s">
        <v>240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2940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3613</v>
      </c>
      <c r="B21" s="338" t="s">
        <v>3669</v>
      </c>
      <c r="C21" s="341" t="s">
        <v>3670</v>
      </c>
      <c r="D21" s="9" t="s">
        <v>19</v>
      </c>
      <c r="E21" s="9" t="s">
        <v>20</v>
      </c>
      <c r="F21" s="300" t="s">
        <v>791</v>
      </c>
      <c r="G21" s="123" t="s">
        <v>3581</v>
      </c>
      <c r="H21" s="334" t="s">
        <v>125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333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127</v>
      </c>
      <c r="T21" s="300" t="s">
        <v>3671</v>
      </c>
      <c r="U21" s="344" t="s">
        <v>20</v>
      </c>
      <c r="V21" s="337" t="e">
        <f t="shared" ca="1" si="1"/>
        <v>#NAME?</v>
      </c>
      <c r="W21" s="7"/>
      <c r="X21" s="7"/>
      <c r="Y21" s="7" t="s">
        <v>240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2940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3613</v>
      </c>
      <c r="B22" s="338" t="s">
        <v>3672</v>
      </c>
      <c r="C22" s="341" t="s">
        <v>3673</v>
      </c>
      <c r="D22" s="9" t="s">
        <v>19</v>
      </c>
      <c r="E22" s="9" t="s">
        <v>20</v>
      </c>
      <c r="F22" s="342" t="s">
        <v>791</v>
      </c>
      <c r="G22" s="123" t="s">
        <v>3581</v>
      </c>
      <c r="H22" s="334" t="s">
        <v>145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333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127</v>
      </c>
      <c r="T22" s="300" t="s">
        <v>3674</v>
      </c>
      <c r="U22" s="344" t="s">
        <v>66</v>
      </c>
      <c r="V22" s="337" t="e">
        <f t="shared" ca="1" si="1"/>
        <v>#NAME?</v>
      </c>
      <c r="W22" s="7"/>
      <c r="X22" s="7"/>
      <c r="Y22" s="7" t="s">
        <v>240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3613</v>
      </c>
      <c r="B23" s="338" t="s">
        <v>3675</v>
      </c>
      <c r="C23" s="341" t="s">
        <v>3676</v>
      </c>
      <c r="D23" s="9" t="s">
        <v>19</v>
      </c>
      <c r="E23" s="9" t="s">
        <v>20</v>
      </c>
      <c r="F23" s="342" t="s">
        <v>184</v>
      </c>
      <c r="G23" s="123" t="s">
        <v>3581</v>
      </c>
      <c r="H23" s="334" t="s">
        <v>145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333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127</v>
      </c>
      <c r="T23" s="300" t="s">
        <v>3677</v>
      </c>
      <c r="U23" s="344" t="s">
        <v>20</v>
      </c>
      <c r="V23" s="337" t="e">
        <f t="shared" ca="1" si="1"/>
        <v>#NAME?</v>
      </c>
      <c r="W23" s="7"/>
      <c r="X23" s="7"/>
      <c r="Y23" s="7" t="s">
        <v>240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2940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3613</v>
      </c>
      <c r="B24" s="338" t="s">
        <v>3678</v>
      </c>
      <c r="C24" s="341" t="s">
        <v>3679</v>
      </c>
      <c r="D24" s="9" t="s">
        <v>19</v>
      </c>
      <c r="E24" s="9" t="s">
        <v>20</v>
      </c>
      <c r="F24" s="342" t="s">
        <v>2963</v>
      </c>
      <c r="G24" s="123" t="s">
        <v>3581</v>
      </c>
      <c r="H24" s="334" t="s">
        <v>145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242</v>
      </c>
      <c r="N24" s="301">
        <v>0</v>
      </c>
      <c r="O24" s="6" t="s">
        <v>25</v>
      </c>
      <c r="P24" s="11">
        <v>0</v>
      </c>
      <c r="Q24" s="332"/>
      <c r="R24" s="332" t="s">
        <v>3680</v>
      </c>
      <c r="S24" s="7" t="s">
        <v>127</v>
      </c>
      <c r="T24" s="300" t="s">
        <v>3681</v>
      </c>
      <c r="U24" s="344" t="s">
        <v>878</v>
      </c>
      <c r="V24" s="337" t="e">
        <f t="shared" ca="1" si="1"/>
        <v>#NAME?</v>
      </c>
      <c r="W24" s="7"/>
      <c r="X24" s="7"/>
      <c r="Y24" s="7" t="s">
        <v>240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3613</v>
      </c>
      <c r="B25" s="338" t="s">
        <v>3682</v>
      </c>
      <c r="C25" s="341" t="s">
        <v>3683</v>
      </c>
      <c r="D25" s="9" t="s">
        <v>19</v>
      </c>
      <c r="E25" s="9" t="s">
        <v>20</v>
      </c>
      <c r="F25" s="300" t="s">
        <v>3684</v>
      </c>
      <c r="G25" s="123" t="s">
        <v>3581</v>
      </c>
      <c r="H25" s="334" t="s">
        <v>125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185</v>
      </c>
      <c r="N25" s="301">
        <v>1.4999999999999999E-2</v>
      </c>
      <c r="O25" s="6" t="s">
        <v>25</v>
      </c>
      <c r="P25" s="11">
        <v>0</v>
      </c>
      <c r="Q25" s="352" t="s">
        <v>2955</v>
      </c>
      <c r="R25" s="92" t="s">
        <v>3685</v>
      </c>
      <c r="S25" s="7" t="s">
        <v>127</v>
      </c>
      <c r="T25" s="300" t="s">
        <v>3686</v>
      </c>
      <c r="U25" s="344" t="s">
        <v>66</v>
      </c>
      <c r="V25" s="337" t="e">
        <f t="shared" ca="1" si="1"/>
        <v>#NAME?</v>
      </c>
      <c r="W25" s="7"/>
      <c r="X25" s="7"/>
      <c r="Y25" s="7" t="s">
        <v>240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2940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3613</v>
      </c>
      <c r="B26" s="338" t="s">
        <v>3687</v>
      </c>
      <c r="C26" s="341" t="s">
        <v>3688</v>
      </c>
      <c r="D26" s="9" t="s">
        <v>19</v>
      </c>
      <c r="E26" s="9" t="s">
        <v>20</v>
      </c>
      <c r="F26" s="342" t="s">
        <v>3689</v>
      </c>
      <c r="G26" s="123" t="s">
        <v>3581</v>
      </c>
      <c r="H26" s="334" t="s">
        <v>134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245</v>
      </c>
      <c r="N26" s="301">
        <v>8.0000000000000002E-3</v>
      </c>
      <c r="O26" s="6" t="s">
        <v>246</v>
      </c>
      <c r="P26" s="11">
        <v>0.1</v>
      </c>
      <c r="Q26" s="352" t="s">
        <v>3690</v>
      </c>
      <c r="R26" s="28"/>
      <c r="S26" s="7" t="s">
        <v>127</v>
      </c>
      <c r="T26" s="300" t="s">
        <v>3691</v>
      </c>
      <c r="U26" s="344" t="s">
        <v>878</v>
      </c>
      <c r="V26" s="337" t="e">
        <f t="shared" ca="1" si="1"/>
        <v>#NAME?</v>
      </c>
      <c r="W26" s="7"/>
      <c r="X26" s="7"/>
      <c r="Y26" s="7" t="s">
        <v>240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3613</v>
      </c>
      <c r="B27" s="338" t="s">
        <v>3692</v>
      </c>
      <c r="C27" s="341" t="s">
        <v>3693</v>
      </c>
      <c r="D27" s="9" t="s">
        <v>19</v>
      </c>
      <c r="E27" s="9" t="s">
        <v>20</v>
      </c>
      <c r="F27" s="300" t="s">
        <v>3659</v>
      </c>
      <c r="G27" s="123" t="s">
        <v>3581</v>
      </c>
      <c r="H27" s="334" t="s">
        <v>125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333</v>
      </c>
      <c r="N27" s="301">
        <v>0.02</v>
      </c>
      <c r="O27" s="6" t="s">
        <v>39</v>
      </c>
      <c r="P27" s="11">
        <v>0.2</v>
      </c>
      <c r="Q27" s="332"/>
      <c r="R27" s="352" t="s">
        <v>3694</v>
      </c>
      <c r="S27" s="7" t="s">
        <v>127</v>
      </c>
      <c r="T27" s="300" t="s">
        <v>3695</v>
      </c>
      <c r="U27" s="344" t="s">
        <v>20</v>
      </c>
      <c r="V27" s="337" t="e">
        <f t="shared" ca="1" si="1"/>
        <v>#NAME?</v>
      </c>
      <c r="W27" s="7"/>
      <c r="X27" s="7"/>
      <c r="Y27" s="7" t="s">
        <v>240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2940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3613</v>
      </c>
      <c r="B28" s="338" t="s">
        <v>3696</v>
      </c>
      <c r="C28" s="341" t="s">
        <v>3697</v>
      </c>
      <c r="D28" s="9" t="s">
        <v>19</v>
      </c>
      <c r="E28" s="9" t="s">
        <v>20</v>
      </c>
      <c r="F28" s="342" t="s">
        <v>184</v>
      </c>
      <c r="G28" s="123" t="s">
        <v>3581</v>
      </c>
      <c r="H28" s="334" t="s">
        <v>145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185</v>
      </c>
      <c r="N28" s="349">
        <v>0.01</v>
      </c>
      <c r="O28" s="6" t="s">
        <v>25</v>
      </c>
      <c r="P28" s="11">
        <v>0</v>
      </c>
      <c r="Q28" s="28" t="s">
        <v>2955</v>
      </c>
      <c r="R28" s="28"/>
      <c r="S28" s="7" t="s">
        <v>127</v>
      </c>
      <c r="T28" s="300" t="s">
        <v>3698</v>
      </c>
      <c r="U28" s="344" t="s">
        <v>20</v>
      </c>
      <c r="V28" s="337" t="e">
        <f t="shared" ca="1" si="1"/>
        <v>#NAME?</v>
      </c>
      <c r="W28" s="7"/>
      <c r="X28" s="7"/>
      <c r="Y28" s="7" t="s">
        <v>240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2940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3613</v>
      </c>
      <c r="B29" s="338" t="s">
        <v>3699</v>
      </c>
      <c r="C29" s="341" t="s">
        <v>3700</v>
      </c>
      <c r="D29" s="9" t="s">
        <v>19</v>
      </c>
      <c r="E29" s="9" t="s">
        <v>20</v>
      </c>
      <c r="F29" s="300" t="s">
        <v>2518</v>
      </c>
      <c r="G29" s="123" t="s">
        <v>3581</v>
      </c>
      <c r="H29" s="334" t="s">
        <v>125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127</v>
      </c>
      <c r="T29" s="300" t="s">
        <v>2505</v>
      </c>
      <c r="U29" s="344" t="s">
        <v>20</v>
      </c>
      <c r="V29" s="337" t="e">
        <f t="shared" ca="1" si="1"/>
        <v>#NAME?</v>
      </c>
      <c r="W29" s="7"/>
      <c r="X29" s="7"/>
      <c r="Y29" s="7" t="s">
        <v>240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3613</v>
      </c>
      <c r="B30" s="338" t="s">
        <v>3701</v>
      </c>
      <c r="C30" s="341" t="s">
        <v>3702</v>
      </c>
      <c r="D30" s="9" t="s">
        <v>19</v>
      </c>
      <c r="E30" s="9" t="s">
        <v>20</v>
      </c>
      <c r="F30" s="300" t="s">
        <v>2518</v>
      </c>
      <c r="G30" s="123" t="s">
        <v>3581</v>
      </c>
      <c r="H30" s="334" t="s">
        <v>125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127</v>
      </c>
      <c r="T30" s="300" t="s">
        <v>3703</v>
      </c>
      <c r="U30" s="344" t="s">
        <v>20</v>
      </c>
      <c r="V30" s="337" t="e">
        <f t="shared" ca="1" si="1"/>
        <v>#NAME?</v>
      </c>
      <c r="W30" s="7"/>
      <c r="X30" s="7"/>
      <c r="Y30" s="7" t="s">
        <v>240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2940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3613</v>
      </c>
      <c r="B31" s="338" t="s">
        <v>3704</v>
      </c>
      <c r="C31" s="341" t="s">
        <v>3705</v>
      </c>
      <c r="D31" s="9" t="s">
        <v>19</v>
      </c>
      <c r="E31" s="9" t="s">
        <v>20</v>
      </c>
      <c r="F31" s="300" t="s">
        <v>3080</v>
      </c>
      <c r="G31" s="123" t="s">
        <v>3581</v>
      </c>
      <c r="H31" s="334" t="s">
        <v>125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333</v>
      </c>
      <c r="N31" s="301">
        <v>0.02</v>
      </c>
      <c r="O31" s="6" t="s">
        <v>39</v>
      </c>
      <c r="P31" s="11">
        <v>0.2</v>
      </c>
      <c r="Q31" s="332" t="s">
        <v>3706</v>
      </c>
      <c r="R31" s="28"/>
      <c r="S31" s="7" t="s">
        <v>127</v>
      </c>
      <c r="T31" s="300" t="s">
        <v>3707</v>
      </c>
      <c r="U31" s="344" t="s">
        <v>20</v>
      </c>
      <c r="V31" s="337" t="e">
        <f t="shared" ca="1" si="1"/>
        <v>#NAME?</v>
      </c>
      <c r="W31" s="7"/>
      <c r="X31" s="7"/>
      <c r="Y31" s="7" t="s">
        <v>240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2940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2886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2887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2888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2889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A2:CC31" xr:uid="{56EEB30F-25C8-4AA6-BF8B-DF69F3F4C001}"/>
    </customSheetView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A1:BZ40" xr:uid="{364E0808-3ABB-4A4E-8108-B2178C52238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74</v>
      </c>
      <c r="C1" s="14"/>
      <c r="D1" s="14"/>
      <c r="E1" s="14"/>
      <c r="F1" s="14"/>
      <c r="G1" s="16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18"/>
      <c r="Z1" s="654" t="s">
        <v>78</v>
      </c>
      <c r="AA1" s="645"/>
      <c r="AB1" s="645"/>
      <c r="AC1" s="645"/>
      <c r="AD1" s="645"/>
      <c r="AE1" s="645"/>
      <c r="AF1" s="645"/>
      <c r="AG1" s="645"/>
      <c r="AH1" s="645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79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80</v>
      </c>
      <c r="H2" s="374" t="s">
        <v>81</v>
      </c>
      <c r="I2" s="374" t="s">
        <v>82</v>
      </c>
      <c r="J2" s="374" t="s">
        <v>83</v>
      </c>
      <c r="K2" s="374" t="s">
        <v>84</v>
      </c>
      <c r="L2" s="374" t="s">
        <v>85</v>
      </c>
      <c r="M2" s="374" t="s">
        <v>8</v>
      </c>
      <c r="N2" s="374" t="s">
        <v>86</v>
      </c>
      <c r="O2" s="374" t="s">
        <v>3708</v>
      </c>
      <c r="P2" s="374" t="s">
        <v>11</v>
      </c>
      <c r="Q2" s="375" t="s">
        <v>3709</v>
      </c>
      <c r="R2" s="375" t="s">
        <v>88</v>
      </c>
      <c r="S2" s="374" t="s">
        <v>89</v>
      </c>
      <c r="T2" s="373" t="s">
        <v>12</v>
      </c>
      <c r="U2" s="374" t="s">
        <v>13</v>
      </c>
      <c r="V2" s="374" t="s">
        <v>90</v>
      </c>
      <c r="W2" s="374" t="s">
        <v>14</v>
      </c>
      <c r="X2" s="374" t="s">
        <v>93</v>
      </c>
      <c r="Y2" s="374" t="s">
        <v>3710</v>
      </c>
      <c r="Z2" s="374" t="s">
        <v>102</v>
      </c>
      <c r="AA2" s="374" t="s">
        <v>103</v>
      </c>
      <c r="AB2" s="374" t="s">
        <v>104</v>
      </c>
      <c r="AC2" s="374" t="s">
        <v>105</v>
      </c>
      <c r="AD2" s="374" t="s">
        <v>106</v>
      </c>
      <c r="AE2" s="374" t="s">
        <v>107</v>
      </c>
      <c r="AF2" s="373" t="s">
        <v>108</v>
      </c>
      <c r="AG2" s="373" t="s">
        <v>109</v>
      </c>
      <c r="AH2" s="373" t="s">
        <v>110</v>
      </c>
      <c r="AI2" s="373" t="s">
        <v>111</v>
      </c>
      <c r="AJ2" s="373" t="s">
        <v>112</v>
      </c>
      <c r="AK2" s="373" t="s">
        <v>113</v>
      </c>
      <c r="AL2" s="373" t="s">
        <v>114</v>
      </c>
      <c r="AM2" s="373" t="s">
        <v>115</v>
      </c>
      <c r="AN2" s="373" t="s">
        <v>116</v>
      </c>
      <c r="AO2" s="373" t="s">
        <v>117</v>
      </c>
      <c r="AP2" s="373" t="s">
        <v>118</v>
      </c>
    </row>
    <row r="3" spans="1:42" ht="15.75" customHeight="1">
      <c r="A3" s="161" t="s">
        <v>3711</v>
      </c>
      <c r="B3" s="161" t="s">
        <v>2262</v>
      </c>
      <c r="C3" s="91" t="s">
        <v>3712</v>
      </c>
      <c r="D3" s="9" t="s">
        <v>46</v>
      </c>
      <c r="E3" s="9" t="s">
        <v>20</v>
      </c>
      <c r="F3" s="125" t="s">
        <v>124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134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333</v>
      </c>
      <c r="N3" s="301">
        <v>0.01</v>
      </c>
      <c r="O3" s="6" t="s">
        <v>25</v>
      </c>
      <c r="P3" s="11">
        <v>0</v>
      </c>
      <c r="Q3" s="167"/>
      <c r="R3" s="28"/>
      <c r="S3" s="7" t="s">
        <v>127</v>
      </c>
      <c r="T3" s="161" t="s">
        <v>2264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3711</v>
      </c>
      <c r="B4" s="161" t="s">
        <v>3713</v>
      </c>
      <c r="C4" s="377">
        <v>6574040</v>
      </c>
      <c r="D4" s="9" t="s">
        <v>19</v>
      </c>
      <c r="E4" s="9" t="s">
        <v>66</v>
      </c>
      <c r="F4" s="125" t="s">
        <v>144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134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185</v>
      </c>
      <c r="N4" s="124">
        <v>1.4999999999999999E-2</v>
      </c>
      <c r="O4" s="6" t="s">
        <v>39</v>
      </c>
      <c r="P4" s="11">
        <v>0.1</v>
      </c>
      <c r="Q4" s="167"/>
      <c r="R4" s="167" t="s">
        <v>3714</v>
      </c>
      <c r="S4" s="7" t="s">
        <v>127</v>
      </c>
      <c r="T4" s="161" t="s">
        <v>2778</v>
      </c>
      <c r="U4" s="6" t="s">
        <v>66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2886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2887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2888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2889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7" t="s">
        <v>74</v>
      </c>
      <c r="B1" s="648"/>
      <c r="C1" s="648"/>
      <c r="D1" s="648"/>
      <c r="E1" s="648"/>
      <c r="F1" s="648"/>
      <c r="G1" s="649"/>
      <c r="H1" s="650" t="s">
        <v>76</v>
      </c>
      <c r="I1" s="649"/>
      <c r="J1" s="647" t="s">
        <v>74</v>
      </c>
      <c r="K1" s="648"/>
      <c r="L1" s="648"/>
      <c r="M1" s="648"/>
      <c r="N1" s="648"/>
      <c r="O1" s="648"/>
      <c r="P1" s="648"/>
      <c r="Q1" s="648"/>
      <c r="R1" s="649"/>
      <c r="S1" s="228" t="s">
        <v>2891</v>
      </c>
      <c r="T1" s="383" t="s">
        <v>2890</v>
      </c>
      <c r="U1" s="655" t="s">
        <v>77</v>
      </c>
      <c r="V1" s="648"/>
      <c r="W1" s="648"/>
      <c r="X1" s="648"/>
      <c r="Y1" s="649"/>
      <c r="Z1" s="1" t="s">
        <v>78</v>
      </c>
      <c r="AA1" s="1" t="s">
        <v>78</v>
      </c>
      <c r="AB1" s="1" t="s">
        <v>78</v>
      </c>
      <c r="AC1" s="1" t="s">
        <v>78</v>
      </c>
      <c r="AD1" s="1" t="s">
        <v>78</v>
      </c>
      <c r="AE1" s="1" t="s">
        <v>78</v>
      </c>
      <c r="AF1" s="1" t="s">
        <v>78</v>
      </c>
      <c r="AG1" s="1" t="s">
        <v>78</v>
      </c>
      <c r="AH1" s="1" t="s">
        <v>78</v>
      </c>
      <c r="AI1" s="1" t="s">
        <v>78</v>
      </c>
      <c r="AJ1" s="1" t="s">
        <v>78</v>
      </c>
      <c r="AK1" s="1" t="s">
        <v>78</v>
      </c>
      <c r="AL1" s="1" t="s">
        <v>78</v>
      </c>
      <c r="AM1" s="1" t="s">
        <v>78</v>
      </c>
      <c r="AN1" s="1" t="s">
        <v>78</v>
      </c>
      <c r="AO1" s="1" t="s">
        <v>78</v>
      </c>
      <c r="AP1" s="1" t="s">
        <v>78</v>
      </c>
      <c r="AQ1" s="1" t="s">
        <v>78</v>
      </c>
      <c r="AR1" s="1" t="s">
        <v>78</v>
      </c>
      <c r="AS1" s="1" t="s">
        <v>78</v>
      </c>
      <c r="AT1" s="1" t="s">
        <v>78</v>
      </c>
    </row>
    <row r="2" spans="1:46" ht="12.75">
      <c r="A2" s="1" t="s">
        <v>2</v>
      </c>
      <c r="B2" s="1" t="s">
        <v>12</v>
      </c>
      <c r="C2" s="1" t="s">
        <v>79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81</v>
      </c>
      <c r="I2" s="1" t="s">
        <v>82</v>
      </c>
      <c r="J2" s="1" t="s">
        <v>3715</v>
      </c>
      <c r="K2" s="1" t="s">
        <v>3716</v>
      </c>
      <c r="L2" s="1" t="s">
        <v>3717</v>
      </c>
      <c r="M2" s="1" t="s">
        <v>3718</v>
      </c>
      <c r="N2" s="1" t="s">
        <v>83</v>
      </c>
      <c r="O2" s="384" t="s">
        <v>84</v>
      </c>
      <c r="P2" s="384" t="s">
        <v>85</v>
      </c>
      <c r="Q2" s="384" t="s">
        <v>8</v>
      </c>
      <c r="R2" s="385" t="s">
        <v>86</v>
      </c>
      <c r="S2" s="2" t="s">
        <v>3709</v>
      </c>
      <c r="T2" s="2" t="s">
        <v>88</v>
      </c>
      <c r="U2" s="1" t="s">
        <v>89</v>
      </c>
      <c r="V2" s="384" t="s">
        <v>13</v>
      </c>
      <c r="W2" s="1" t="s">
        <v>90</v>
      </c>
      <c r="X2" s="1" t="s">
        <v>14</v>
      </c>
      <c r="Y2" s="1" t="s">
        <v>93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3719</v>
      </c>
      <c r="B3" s="104" t="s">
        <v>3720</v>
      </c>
      <c r="C3" s="104" t="s">
        <v>3721</v>
      </c>
      <c r="D3" s="292" t="s">
        <v>3722</v>
      </c>
      <c r="E3" s="9" t="s">
        <v>3723</v>
      </c>
      <c r="F3" s="9" t="s">
        <v>41</v>
      </c>
      <c r="G3" s="293" t="s">
        <v>3724</v>
      </c>
      <c r="H3" s="334" t="s">
        <v>134</v>
      </c>
      <c r="I3" s="24" t="s">
        <v>25</v>
      </c>
      <c r="J3" s="9" t="s">
        <v>3725</v>
      </c>
      <c r="K3" s="9" t="s">
        <v>3726</v>
      </c>
      <c r="L3" s="9" t="s">
        <v>3726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171</v>
      </c>
      <c r="V3" s="6" t="s">
        <v>3087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3719</v>
      </c>
      <c r="B4" s="390" t="s">
        <v>186</v>
      </c>
      <c r="C4" s="390" t="s">
        <v>182</v>
      </c>
      <c r="D4" s="299" t="s">
        <v>3727</v>
      </c>
      <c r="E4" s="9" t="s">
        <v>19</v>
      </c>
      <c r="F4" s="9" t="s">
        <v>20</v>
      </c>
      <c r="G4" s="293" t="s">
        <v>2518</v>
      </c>
      <c r="H4" s="334" t="s">
        <v>134</v>
      </c>
      <c r="I4" s="24" t="s">
        <v>25</v>
      </c>
      <c r="J4" s="9" t="s">
        <v>3725</v>
      </c>
      <c r="K4" s="9" t="s">
        <v>3726</v>
      </c>
      <c r="L4" s="9" t="s">
        <v>3726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127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3719</v>
      </c>
      <c r="B5" s="390" t="s">
        <v>3728</v>
      </c>
      <c r="C5" s="23" t="s">
        <v>3729</v>
      </c>
      <c r="D5" s="7" t="s">
        <v>3730</v>
      </c>
      <c r="E5" s="9" t="s">
        <v>19</v>
      </c>
      <c r="F5" s="9" t="s">
        <v>66</v>
      </c>
      <c r="G5" s="9" t="s">
        <v>265</v>
      </c>
      <c r="H5" s="334" t="s">
        <v>150</v>
      </c>
      <c r="I5" s="24" t="s">
        <v>25</v>
      </c>
      <c r="J5" s="9" t="s">
        <v>3725</v>
      </c>
      <c r="K5" s="9" t="s">
        <v>3726</v>
      </c>
      <c r="L5" s="9" t="s">
        <v>3726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127</v>
      </c>
      <c r="V5" s="6" t="s">
        <v>66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3719</v>
      </c>
      <c r="B6" s="390" t="s">
        <v>413</v>
      </c>
      <c r="C6" s="390" t="s">
        <v>3731</v>
      </c>
      <c r="D6" s="299" t="s">
        <v>3732</v>
      </c>
      <c r="E6" s="9" t="s">
        <v>19</v>
      </c>
      <c r="F6" s="9" t="s">
        <v>20</v>
      </c>
      <c r="G6" s="293" t="s">
        <v>21</v>
      </c>
      <c r="H6" s="334" t="s">
        <v>125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171</v>
      </c>
      <c r="V6" s="6" t="s">
        <v>3087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3719</v>
      </c>
      <c r="B7" s="390" t="s">
        <v>482</v>
      </c>
      <c r="C7" s="390" t="s">
        <v>3733</v>
      </c>
      <c r="D7" s="299" t="s">
        <v>3734</v>
      </c>
      <c r="E7" s="9" t="s">
        <v>19</v>
      </c>
      <c r="F7" s="9" t="s">
        <v>20</v>
      </c>
      <c r="G7" s="293" t="s">
        <v>360</v>
      </c>
      <c r="H7" s="334" t="s">
        <v>125</v>
      </c>
      <c r="I7" s="24" t="s">
        <v>25</v>
      </c>
      <c r="J7" s="9" t="s">
        <v>3725</v>
      </c>
      <c r="K7" s="9" t="s">
        <v>3726</v>
      </c>
      <c r="L7" s="9" t="s">
        <v>3726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3719</v>
      </c>
      <c r="B8" s="394" t="s">
        <v>3735</v>
      </c>
      <c r="C8" s="394" t="s">
        <v>3736</v>
      </c>
      <c r="D8" s="299" t="s">
        <v>3737</v>
      </c>
      <c r="E8" s="9" t="s">
        <v>3723</v>
      </c>
      <c r="F8" s="9" t="s">
        <v>41</v>
      </c>
      <c r="G8" s="293" t="s">
        <v>3724</v>
      </c>
      <c r="H8" s="334" t="s">
        <v>125</v>
      </c>
      <c r="I8" s="24" t="s">
        <v>25</v>
      </c>
      <c r="J8" s="9" t="s">
        <v>25</v>
      </c>
      <c r="K8" s="9" t="s">
        <v>3738</v>
      </c>
      <c r="L8" s="9" t="s">
        <v>3738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171</v>
      </c>
      <c r="V8" s="6" t="s">
        <v>3087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3719</v>
      </c>
      <c r="B9" s="395">
        <v>218056950018</v>
      </c>
      <c r="C9" s="23" t="s">
        <v>3739</v>
      </c>
      <c r="D9" s="159" t="s">
        <v>3740</v>
      </c>
      <c r="E9" s="9" t="s">
        <v>46</v>
      </c>
      <c r="F9" s="9" t="s">
        <v>20</v>
      </c>
      <c r="G9" s="293" t="s">
        <v>124</v>
      </c>
      <c r="H9" s="334" t="s">
        <v>150</v>
      </c>
      <c r="I9" s="24" t="s">
        <v>25</v>
      </c>
      <c r="J9" s="9" t="s">
        <v>3725</v>
      </c>
      <c r="K9" s="9" t="s">
        <v>3726</v>
      </c>
      <c r="L9" s="9" t="s">
        <v>3726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3719</v>
      </c>
      <c r="B10" s="396" t="s">
        <v>786</v>
      </c>
      <c r="C10" s="397" t="s">
        <v>783</v>
      </c>
      <c r="D10" s="39" t="s">
        <v>3741</v>
      </c>
      <c r="E10" s="9" t="s">
        <v>19</v>
      </c>
      <c r="F10" s="9" t="s">
        <v>20</v>
      </c>
      <c r="G10" s="293" t="s">
        <v>184</v>
      </c>
      <c r="H10" s="334" t="s">
        <v>150</v>
      </c>
      <c r="I10" s="24" t="s">
        <v>25</v>
      </c>
      <c r="J10" s="9" t="s">
        <v>3725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127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3719</v>
      </c>
      <c r="B11" s="390" t="s">
        <v>898</v>
      </c>
      <c r="C11" s="390" t="s">
        <v>895</v>
      </c>
      <c r="D11" s="299" t="s">
        <v>3742</v>
      </c>
      <c r="E11" s="9" t="s">
        <v>19</v>
      </c>
      <c r="F11" s="9" t="s">
        <v>20</v>
      </c>
      <c r="G11" s="293" t="s">
        <v>21</v>
      </c>
      <c r="H11" s="334" t="s">
        <v>125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127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3719</v>
      </c>
      <c r="B12" s="390" t="s">
        <v>3743</v>
      </c>
      <c r="C12" s="390" t="s">
        <v>3744</v>
      </c>
      <c r="D12" s="299" t="s">
        <v>3745</v>
      </c>
      <c r="E12" s="9" t="s">
        <v>3723</v>
      </c>
      <c r="F12" s="9" t="s">
        <v>41</v>
      </c>
      <c r="G12" s="293" t="s">
        <v>3724</v>
      </c>
      <c r="H12" s="334" t="s">
        <v>125</v>
      </c>
      <c r="I12" s="24" t="s">
        <v>25</v>
      </c>
      <c r="J12" s="9" t="s">
        <v>25</v>
      </c>
      <c r="K12" s="9" t="s">
        <v>3738</v>
      </c>
      <c r="L12" s="9" t="s">
        <v>3738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171</v>
      </c>
      <c r="V12" s="6" t="s">
        <v>3087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3719</v>
      </c>
      <c r="B13" s="390" t="s">
        <v>3746</v>
      </c>
      <c r="C13" s="390" t="s">
        <v>3747</v>
      </c>
      <c r="D13" s="292" t="s">
        <v>3748</v>
      </c>
      <c r="E13" s="9" t="s">
        <v>3723</v>
      </c>
      <c r="F13" s="9" t="s">
        <v>41</v>
      </c>
      <c r="G13" s="293" t="s">
        <v>3724</v>
      </c>
      <c r="H13" s="334" t="s">
        <v>134</v>
      </c>
      <c r="I13" s="24" t="s">
        <v>25</v>
      </c>
      <c r="J13" s="9" t="s">
        <v>3725</v>
      </c>
      <c r="K13" s="9" t="s">
        <v>3726</v>
      </c>
      <c r="L13" s="9" t="s">
        <v>3726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171</v>
      </c>
      <c r="V13" s="6" t="s">
        <v>3087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3719</v>
      </c>
      <c r="B14" s="390" t="s">
        <v>3749</v>
      </c>
      <c r="C14" s="390" t="s">
        <v>3750</v>
      </c>
      <c r="D14" s="399" t="s">
        <v>3751</v>
      </c>
      <c r="E14" s="9" t="s">
        <v>3752</v>
      </c>
      <c r="F14" s="9" t="s">
        <v>66</v>
      </c>
      <c r="G14" s="9" t="s">
        <v>72</v>
      </c>
      <c r="H14" s="334" t="s">
        <v>134</v>
      </c>
      <c r="I14" s="24" t="s">
        <v>25</v>
      </c>
      <c r="J14" s="9" t="s">
        <v>3725</v>
      </c>
      <c r="K14" s="9" t="s">
        <v>3726</v>
      </c>
      <c r="L14" s="9" t="s">
        <v>3726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127</v>
      </c>
      <c r="V14" s="6" t="s">
        <v>3087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3719</v>
      </c>
      <c r="B15" s="304" t="s">
        <v>1495</v>
      </c>
      <c r="C15" s="390" t="s">
        <v>3753</v>
      </c>
      <c r="D15" s="399" t="s">
        <v>3754</v>
      </c>
      <c r="E15" s="9" t="s">
        <v>19</v>
      </c>
      <c r="F15" s="9" t="s">
        <v>41</v>
      </c>
      <c r="G15" s="9" t="s">
        <v>3755</v>
      </c>
      <c r="H15" s="334" t="s">
        <v>150</v>
      </c>
      <c r="I15" s="24" t="s">
        <v>25</v>
      </c>
      <c r="J15" s="9" t="s">
        <v>3725</v>
      </c>
      <c r="K15" s="9" t="s">
        <v>3726</v>
      </c>
      <c r="L15" s="9" t="s">
        <v>3726</v>
      </c>
      <c r="M15" s="9" t="s">
        <v>3726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127</v>
      </c>
      <c r="V15" s="6" t="s">
        <v>1496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3719</v>
      </c>
      <c r="B16" s="354" t="s">
        <v>3323</v>
      </c>
      <c r="C16" s="390" t="s">
        <v>3756</v>
      </c>
      <c r="D16" s="292" t="s">
        <v>3757</v>
      </c>
      <c r="E16" s="9" t="s">
        <v>19</v>
      </c>
      <c r="F16" s="9" t="s">
        <v>20</v>
      </c>
      <c r="G16" s="293" t="s">
        <v>19</v>
      </c>
      <c r="H16" s="334" t="s">
        <v>134</v>
      </c>
      <c r="I16" s="24" t="s">
        <v>25</v>
      </c>
      <c r="J16" s="9" t="s">
        <v>3725</v>
      </c>
      <c r="K16" s="9" t="s">
        <v>3726</v>
      </c>
      <c r="L16" s="9" t="s">
        <v>3726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127</v>
      </c>
      <c r="V16" s="6" t="s">
        <v>3087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3719</v>
      </c>
      <c r="B17" s="390" t="s">
        <v>1930</v>
      </c>
      <c r="C17" s="390" t="s">
        <v>1926</v>
      </c>
      <c r="D17" s="399" t="s">
        <v>3758</v>
      </c>
      <c r="E17" s="9" t="s">
        <v>19</v>
      </c>
      <c r="F17" s="9" t="s">
        <v>20</v>
      </c>
      <c r="G17" s="293" t="s">
        <v>360</v>
      </c>
      <c r="H17" s="334" t="s">
        <v>150</v>
      </c>
      <c r="I17" s="24" t="s">
        <v>25</v>
      </c>
      <c r="J17" s="9" t="s">
        <v>3725</v>
      </c>
      <c r="K17" s="9" t="s">
        <v>3726</v>
      </c>
      <c r="L17" s="9" t="s">
        <v>3726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127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3719</v>
      </c>
      <c r="B18" s="23" t="s">
        <v>2264</v>
      </c>
      <c r="C18" s="23" t="s">
        <v>2262</v>
      </c>
      <c r="D18" s="4" t="s">
        <v>3759</v>
      </c>
      <c r="E18" s="9" t="s">
        <v>46</v>
      </c>
      <c r="F18" s="9" t="s">
        <v>20</v>
      </c>
      <c r="G18" s="293" t="s">
        <v>124</v>
      </c>
      <c r="H18" s="334" t="s">
        <v>150</v>
      </c>
      <c r="I18" s="24" t="s">
        <v>25</v>
      </c>
      <c r="J18" s="9" t="s">
        <v>3725</v>
      </c>
      <c r="K18" s="9" t="s">
        <v>3726</v>
      </c>
      <c r="L18" s="9" t="s">
        <v>3726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127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3719</v>
      </c>
      <c r="B19" s="23" t="s">
        <v>3760</v>
      </c>
      <c r="C19" s="23" t="s">
        <v>3761</v>
      </c>
      <c r="D19" s="35" t="s">
        <v>3762</v>
      </c>
      <c r="E19" s="9" t="s">
        <v>19</v>
      </c>
      <c r="F19" s="9" t="s">
        <v>20</v>
      </c>
      <c r="G19" s="293" t="s">
        <v>360</v>
      </c>
      <c r="H19" s="334" t="s">
        <v>150</v>
      </c>
      <c r="I19" s="24" t="s">
        <v>25</v>
      </c>
      <c r="J19" s="9" t="s">
        <v>3725</v>
      </c>
      <c r="K19" s="9" t="s">
        <v>3726</v>
      </c>
      <c r="L19" s="9" t="s">
        <v>3726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127</v>
      </c>
      <c r="V19" s="6" t="s">
        <v>3087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3719</v>
      </c>
      <c r="B20" s="390" t="s">
        <v>2350</v>
      </c>
      <c r="C20" s="390" t="s">
        <v>3763</v>
      </c>
      <c r="D20" s="292" t="s">
        <v>3764</v>
      </c>
      <c r="E20" s="9" t="s">
        <v>19</v>
      </c>
      <c r="F20" s="9" t="s">
        <v>20</v>
      </c>
      <c r="G20" s="293" t="s">
        <v>184</v>
      </c>
      <c r="H20" s="334" t="s">
        <v>134</v>
      </c>
      <c r="I20" s="24" t="s">
        <v>25</v>
      </c>
      <c r="J20" s="9" t="s">
        <v>3765</v>
      </c>
      <c r="K20" s="9" t="s">
        <v>3738</v>
      </c>
      <c r="L20" s="9" t="s">
        <v>3738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127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3719</v>
      </c>
      <c r="B21" s="390" t="s">
        <v>3087</v>
      </c>
      <c r="C21" s="390" t="s">
        <v>3766</v>
      </c>
      <c r="D21" s="292" t="s">
        <v>3767</v>
      </c>
      <c r="E21" s="9" t="s">
        <v>19</v>
      </c>
      <c r="F21" s="9" t="s">
        <v>20</v>
      </c>
      <c r="G21" s="293" t="s">
        <v>21</v>
      </c>
      <c r="H21" s="334" t="s">
        <v>145</v>
      </c>
      <c r="I21" s="24" t="s">
        <v>25</v>
      </c>
      <c r="J21" s="9" t="s">
        <v>3725</v>
      </c>
      <c r="K21" s="9" t="s">
        <v>3726</v>
      </c>
      <c r="L21" s="9" t="s">
        <v>3726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3768</v>
      </c>
      <c r="U21" s="6" t="s">
        <v>171</v>
      </c>
      <c r="V21" s="6" t="s">
        <v>3087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3719</v>
      </c>
      <c r="B22" s="390" t="s">
        <v>3087</v>
      </c>
      <c r="C22" s="390" t="s">
        <v>3769</v>
      </c>
      <c r="D22" s="292" t="s">
        <v>3770</v>
      </c>
      <c r="E22" s="9" t="s">
        <v>34</v>
      </c>
      <c r="F22" s="9" t="s">
        <v>878</v>
      </c>
      <c r="G22" s="293" t="s">
        <v>3771</v>
      </c>
      <c r="H22" s="334" t="s">
        <v>150</v>
      </c>
      <c r="I22" s="24" t="s">
        <v>25</v>
      </c>
      <c r="J22" s="9" t="s">
        <v>3725</v>
      </c>
      <c r="K22" s="9" t="s">
        <v>3726</v>
      </c>
      <c r="L22" s="9" t="s">
        <v>3726</v>
      </c>
      <c r="M22" s="9" t="s">
        <v>3726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3719</v>
      </c>
      <c r="B23" s="104" t="s">
        <v>3772</v>
      </c>
      <c r="C23" s="104" t="s">
        <v>3773</v>
      </c>
      <c r="D23" s="292" t="s">
        <v>3774</v>
      </c>
      <c r="E23" s="9" t="s">
        <v>19</v>
      </c>
      <c r="F23" s="9" t="s">
        <v>20</v>
      </c>
      <c r="G23" s="293" t="s">
        <v>360</v>
      </c>
      <c r="H23" s="334" t="s">
        <v>125</v>
      </c>
      <c r="I23" s="24" t="s">
        <v>25</v>
      </c>
      <c r="J23" s="9" t="s">
        <v>3725</v>
      </c>
      <c r="K23" s="9" t="s">
        <v>3726</v>
      </c>
      <c r="L23" s="9" t="s">
        <v>3726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127</v>
      </c>
      <c r="V23" s="6" t="s">
        <v>3087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3719</v>
      </c>
      <c r="B24" s="390" t="s">
        <v>2661</v>
      </c>
      <c r="C24" s="390" t="s">
        <v>2659</v>
      </c>
      <c r="D24" s="299" t="s">
        <v>3775</v>
      </c>
      <c r="E24" s="9" t="s">
        <v>19</v>
      </c>
      <c r="F24" s="9" t="s">
        <v>20</v>
      </c>
      <c r="G24" s="293" t="s">
        <v>21</v>
      </c>
      <c r="H24" s="334" t="s">
        <v>125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127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2886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2887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2888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2889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C2:AG24" xr:uid="{04F96916-57DA-42E0-8A74-6953CF882787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7" t="s">
        <v>74</v>
      </c>
      <c r="B1" s="648"/>
      <c r="C1" s="648"/>
      <c r="D1" s="648"/>
      <c r="E1" s="648"/>
      <c r="F1" s="649"/>
      <c r="G1" s="650" t="s">
        <v>76</v>
      </c>
      <c r="H1" s="649"/>
      <c r="I1" s="647" t="s">
        <v>74</v>
      </c>
      <c r="J1" s="648"/>
      <c r="K1" s="648"/>
      <c r="L1" s="648"/>
      <c r="M1" s="648"/>
      <c r="N1" s="649"/>
      <c r="O1" s="228" t="s">
        <v>2891</v>
      </c>
      <c r="P1" s="383" t="s">
        <v>2890</v>
      </c>
      <c r="Q1" s="655" t="s">
        <v>77</v>
      </c>
      <c r="R1" s="648"/>
      <c r="S1" s="648"/>
      <c r="T1" s="648"/>
      <c r="U1" s="648"/>
      <c r="V1" s="649"/>
      <c r="W1" s="230" t="s">
        <v>78</v>
      </c>
      <c r="X1" s="230" t="s">
        <v>78</v>
      </c>
      <c r="Y1" s="230" t="s">
        <v>78</v>
      </c>
    </row>
    <row r="2" spans="1:25" ht="25.5">
      <c r="A2" s="1" t="s">
        <v>2</v>
      </c>
      <c r="B2" s="1" t="s">
        <v>79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3715</v>
      </c>
      <c r="J2" s="1" t="s">
        <v>83</v>
      </c>
      <c r="K2" s="384" t="s">
        <v>84</v>
      </c>
      <c r="L2" s="384" t="s">
        <v>85</v>
      </c>
      <c r="M2" s="384" t="s">
        <v>8</v>
      </c>
      <c r="N2" s="385" t="s">
        <v>86</v>
      </c>
      <c r="O2" s="2" t="s">
        <v>3709</v>
      </c>
      <c r="P2" s="2" t="s">
        <v>88</v>
      </c>
      <c r="Q2" s="1" t="s">
        <v>89</v>
      </c>
      <c r="R2" s="384" t="s">
        <v>13</v>
      </c>
      <c r="S2" s="1" t="s">
        <v>12</v>
      </c>
      <c r="T2" s="1" t="s">
        <v>90</v>
      </c>
      <c r="U2" s="1" t="s">
        <v>14</v>
      </c>
      <c r="V2" s="1" t="s">
        <v>93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733</v>
      </c>
      <c r="C3" s="6" t="s">
        <v>3776</v>
      </c>
      <c r="D3" s="9" t="s">
        <v>19</v>
      </c>
      <c r="E3" s="9" t="s">
        <v>20</v>
      </c>
      <c r="F3" s="9" t="s">
        <v>184</v>
      </c>
      <c r="G3" s="334" t="s">
        <v>150</v>
      </c>
      <c r="H3" s="24" t="s">
        <v>25</v>
      </c>
      <c r="I3" s="9" t="s">
        <v>3725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127</v>
      </c>
      <c r="R3" s="6" t="s">
        <v>20</v>
      </c>
      <c r="S3" s="36" t="s">
        <v>735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1267</v>
      </c>
      <c r="C4" s="7" t="s">
        <v>3777</v>
      </c>
      <c r="D4" s="9" t="s">
        <v>19</v>
      </c>
      <c r="E4" s="9" t="s">
        <v>20</v>
      </c>
      <c r="F4" s="9" t="s">
        <v>184</v>
      </c>
      <c r="G4" s="334" t="s">
        <v>150</v>
      </c>
      <c r="H4" s="24" t="s">
        <v>25</v>
      </c>
      <c r="I4" s="9" t="s">
        <v>3725</v>
      </c>
      <c r="J4" s="9" t="s">
        <v>165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127</v>
      </c>
      <c r="R4" s="6" t="s">
        <v>20</v>
      </c>
      <c r="S4" s="88" t="s">
        <v>1269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2886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2889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B2:W5" xr:uid="{B8E29EB1-3E0D-4FDD-BC2B-517A1DF1158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4" t="s">
        <v>74</v>
      </c>
      <c r="B1" s="645"/>
      <c r="C1" s="645"/>
      <c r="D1" s="645"/>
      <c r="E1" s="645"/>
      <c r="F1" s="645"/>
      <c r="G1" s="646" t="s">
        <v>76</v>
      </c>
      <c r="H1" s="645"/>
      <c r="I1" s="644" t="s">
        <v>74</v>
      </c>
      <c r="J1" s="645"/>
      <c r="K1" s="645"/>
      <c r="L1" s="645"/>
      <c r="M1" s="645"/>
      <c r="N1" s="645"/>
      <c r="O1" s="645"/>
      <c r="P1" s="291" t="s">
        <v>2891</v>
      </c>
      <c r="Q1" s="17" t="s">
        <v>2890</v>
      </c>
      <c r="R1" s="653" t="s">
        <v>77</v>
      </c>
      <c r="S1" s="645"/>
      <c r="T1" s="645"/>
      <c r="U1" s="645"/>
      <c r="V1" s="645"/>
      <c r="W1" s="645"/>
      <c r="X1" s="656" t="s">
        <v>78</v>
      </c>
      <c r="Y1" s="645"/>
      <c r="Z1" s="645"/>
      <c r="AA1" s="645"/>
      <c r="AB1" s="645"/>
      <c r="AC1" s="645"/>
      <c r="AD1" s="645"/>
      <c r="AE1" s="645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3716</v>
      </c>
      <c r="J2" s="1" t="s">
        <v>3717</v>
      </c>
      <c r="K2" s="1" t="s">
        <v>83</v>
      </c>
      <c r="L2" s="384" t="s">
        <v>84</v>
      </c>
      <c r="M2" s="384" t="s">
        <v>85</v>
      </c>
      <c r="N2" s="384" t="s">
        <v>8</v>
      </c>
      <c r="O2" s="385" t="s">
        <v>86</v>
      </c>
      <c r="P2" s="2" t="s">
        <v>3709</v>
      </c>
      <c r="Q2" s="2" t="s">
        <v>88</v>
      </c>
      <c r="R2" s="1" t="s">
        <v>89</v>
      </c>
      <c r="S2" s="1" t="s">
        <v>3778</v>
      </c>
      <c r="T2" s="384" t="s">
        <v>13</v>
      </c>
      <c r="U2" s="1" t="s">
        <v>90</v>
      </c>
      <c r="V2" s="1" t="s">
        <v>14</v>
      </c>
      <c r="W2" s="1" t="s">
        <v>93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3779</v>
      </c>
      <c r="B3" s="161" t="s">
        <v>3780</v>
      </c>
      <c r="C3" s="91" t="s">
        <v>3781</v>
      </c>
      <c r="D3" s="9" t="s">
        <v>19</v>
      </c>
      <c r="E3" s="9" t="s">
        <v>20</v>
      </c>
      <c r="F3" s="405" t="s">
        <v>21</v>
      </c>
      <c r="G3" s="334" t="s">
        <v>134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127</v>
      </c>
      <c r="S3" s="80" t="s">
        <v>413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3779</v>
      </c>
      <c r="B4" s="406" t="s">
        <v>1056</v>
      </c>
      <c r="C4" s="399" t="s">
        <v>3782</v>
      </c>
      <c r="D4" s="9" t="s">
        <v>19</v>
      </c>
      <c r="E4" s="9" t="s">
        <v>35</v>
      </c>
      <c r="F4" s="405" t="s">
        <v>199</v>
      </c>
      <c r="G4" s="334" t="s">
        <v>134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127</v>
      </c>
      <c r="S4" s="80" t="s">
        <v>1059</v>
      </c>
      <c r="T4" s="6" t="s">
        <v>202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3779</v>
      </c>
      <c r="B5" s="406" t="s">
        <v>1056</v>
      </c>
      <c r="C5" s="399" t="s">
        <v>3782</v>
      </c>
      <c r="D5" s="9" t="s">
        <v>19</v>
      </c>
      <c r="E5" s="9" t="s">
        <v>35</v>
      </c>
      <c r="F5" s="405" t="s">
        <v>199</v>
      </c>
      <c r="G5" s="334" t="s">
        <v>150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127</v>
      </c>
      <c r="S5" s="80" t="s">
        <v>1059</v>
      </c>
      <c r="T5" s="6" t="s">
        <v>202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3779</v>
      </c>
      <c r="B6" s="80" t="s">
        <v>1779</v>
      </c>
      <c r="C6" s="91" t="s">
        <v>3783</v>
      </c>
      <c r="D6" s="9" t="s">
        <v>19</v>
      </c>
      <c r="E6" s="9" t="s">
        <v>35</v>
      </c>
      <c r="F6" s="405" t="s">
        <v>199</v>
      </c>
      <c r="G6" s="334" t="s">
        <v>134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127</v>
      </c>
      <c r="S6" s="80" t="s">
        <v>1782</v>
      </c>
      <c r="T6" s="6" t="s">
        <v>202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2886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2889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79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3784</v>
      </c>
      <c r="I1" s="408" t="s">
        <v>3785</v>
      </c>
      <c r="J1" s="409" t="s">
        <v>81</v>
      </c>
      <c r="K1" s="408" t="s">
        <v>3786</v>
      </c>
      <c r="L1" s="408" t="s">
        <v>3787</v>
      </c>
      <c r="M1" s="409" t="s">
        <v>84</v>
      </c>
      <c r="N1" s="408" t="s">
        <v>85</v>
      </c>
      <c r="O1" s="409" t="s">
        <v>8</v>
      </c>
      <c r="P1" s="410" t="s">
        <v>86</v>
      </c>
      <c r="Q1" s="411" t="s">
        <v>3788</v>
      </c>
      <c r="R1" s="412" t="s">
        <v>1039</v>
      </c>
      <c r="S1" s="408" t="s">
        <v>3789</v>
      </c>
      <c r="T1" s="408" t="s">
        <v>3790</v>
      </c>
      <c r="U1" s="409" t="s">
        <v>3791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3792</v>
      </c>
      <c r="BT1" s="414"/>
    </row>
    <row r="2" spans="1:72" ht="15.75" customHeight="1">
      <c r="A2" s="122" t="s">
        <v>3793</v>
      </c>
      <c r="B2" s="104" t="s">
        <v>3794</v>
      </c>
      <c r="C2" s="161" t="s">
        <v>3795</v>
      </c>
      <c r="D2" s="299">
        <v>4926548</v>
      </c>
      <c r="E2" s="293" t="s">
        <v>19</v>
      </c>
      <c r="F2" s="293" t="s">
        <v>20</v>
      </c>
      <c r="G2" s="293" t="s">
        <v>3647</v>
      </c>
      <c r="H2" s="293" t="str">
        <f>IFERROR(VLOOKUP(G2,'Cadastro de assessores'!A:B,2,FALSE),"Não Cadastrado")</f>
        <v>14739</v>
      </c>
      <c r="I2" s="293"/>
      <c r="J2" s="24" t="s">
        <v>3796</v>
      </c>
      <c r="K2" s="292" t="s">
        <v>134</v>
      </c>
      <c r="L2" s="415">
        <v>44475</v>
      </c>
      <c r="M2" s="416">
        <v>44482</v>
      </c>
      <c r="N2" s="299"/>
      <c r="O2" s="299" t="s">
        <v>3797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127</v>
      </c>
      <c r="U2" s="292" t="s">
        <v>3798</v>
      </c>
      <c r="V2" s="292" t="s">
        <v>66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3793</v>
      </c>
      <c r="B3" s="104" t="s">
        <v>3799</v>
      </c>
      <c r="C3" s="122" t="s">
        <v>3800</v>
      </c>
      <c r="D3" s="292">
        <v>4653733</v>
      </c>
      <c r="E3" s="292" t="s">
        <v>19</v>
      </c>
      <c r="F3" s="292" t="s">
        <v>20</v>
      </c>
      <c r="G3" s="292" t="s">
        <v>3801</v>
      </c>
      <c r="H3" s="292" t="str">
        <f>IFERROR(VLOOKUP(G3,'Cadastro de assessores'!A:B,2,FALSE),"Não Cadastrado")</f>
        <v>17679</v>
      </c>
      <c r="I3" s="292"/>
      <c r="J3" s="24" t="s">
        <v>125</v>
      </c>
      <c r="K3" s="292" t="s">
        <v>3802</v>
      </c>
      <c r="L3" s="419">
        <v>44186</v>
      </c>
      <c r="M3" s="419">
        <v>44186</v>
      </c>
      <c r="N3" s="387">
        <v>44456</v>
      </c>
      <c r="O3" s="292" t="s">
        <v>3803</v>
      </c>
      <c r="P3" s="388">
        <v>1.4999999999999999E-2</v>
      </c>
      <c r="Q3" s="420" t="s">
        <v>3804</v>
      </c>
      <c r="R3" s="417"/>
      <c r="S3" s="292" t="str">
        <f t="shared" si="0"/>
        <v/>
      </c>
      <c r="T3" s="292" t="s">
        <v>127</v>
      </c>
      <c r="U3" s="292" t="s">
        <v>3805</v>
      </c>
      <c r="V3" s="292" t="s">
        <v>20</v>
      </c>
      <c r="W3" s="418" t="s">
        <v>3806</v>
      </c>
      <c r="X3" s="418" t="s">
        <v>3806</v>
      </c>
      <c r="Y3" s="418" t="s">
        <v>3806</v>
      </c>
      <c r="Z3" s="418" t="s">
        <v>3806</v>
      </c>
      <c r="AA3" s="418" t="s">
        <v>3806</v>
      </c>
      <c r="AB3" s="418" t="s">
        <v>3806</v>
      </c>
      <c r="AC3" s="418" t="s">
        <v>3806</v>
      </c>
      <c r="AD3" s="418" t="s">
        <v>3806</v>
      </c>
      <c r="AE3" s="418" t="s">
        <v>3806</v>
      </c>
      <c r="AF3" s="418" t="s">
        <v>3806</v>
      </c>
      <c r="AG3" s="418" t="s">
        <v>3806</v>
      </c>
      <c r="AH3" s="418" t="s">
        <v>3806</v>
      </c>
      <c r="AI3" s="418" t="s">
        <v>3806</v>
      </c>
      <c r="AJ3" s="418" t="s">
        <v>3806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2940</v>
      </c>
      <c r="BE3" s="339" t="s">
        <v>2940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3793</v>
      </c>
      <c r="B4" s="104" t="s">
        <v>3807</v>
      </c>
      <c r="C4" s="104" t="s">
        <v>3808</v>
      </c>
      <c r="D4" s="293">
        <v>4084071</v>
      </c>
      <c r="E4" s="293" t="s">
        <v>19</v>
      </c>
      <c r="F4" s="293" t="s">
        <v>20</v>
      </c>
      <c r="G4" s="293" t="s">
        <v>3809</v>
      </c>
      <c r="H4" s="293">
        <f>IFERROR(VLOOKUP(G4,'Cadastro de assessores'!A:B,2,FALSE),"Não Cadastrado")</f>
        <v>12336</v>
      </c>
      <c r="I4" s="293"/>
      <c r="J4" s="24" t="s">
        <v>3796</v>
      </c>
      <c r="K4" s="292" t="s">
        <v>134</v>
      </c>
      <c r="L4" s="415">
        <v>44323</v>
      </c>
      <c r="M4" s="415">
        <v>44326</v>
      </c>
      <c r="N4" s="292"/>
      <c r="O4" s="299" t="s">
        <v>3810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127</v>
      </c>
      <c r="U4" s="292" t="s">
        <v>3811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3793</v>
      </c>
      <c r="B5" s="104" t="s">
        <v>160</v>
      </c>
      <c r="C5" s="390" t="s">
        <v>3812</v>
      </c>
      <c r="D5" s="422">
        <v>2602612</v>
      </c>
      <c r="E5" s="293" t="s">
        <v>19</v>
      </c>
      <c r="F5" s="293" t="s">
        <v>66</v>
      </c>
      <c r="G5" s="293" t="s">
        <v>144</v>
      </c>
      <c r="H5" s="293">
        <f>IFERROR(VLOOKUP(G5,'Cadastro de assessores'!A:B,2,FALSE),"Não Cadastrado")</f>
        <v>12331</v>
      </c>
      <c r="I5" s="293"/>
      <c r="J5" s="24" t="s">
        <v>3796</v>
      </c>
      <c r="K5" s="292" t="s">
        <v>134</v>
      </c>
      <c r="L5" s="423">
        <v>44642</v>
      </c>
      <c r="M5" s="423">
        <v>44642</v>
      </c>
      <c r="N5" s="299"/>
      <c r="O5" s="299" t="s">
        <v>3813</v>
      </c>
      <c r="P5" s="388">
        <v>1.2E-2</v>
      </c>
      <c r="Q5" s="421" t="s">
        <v>3814</v>
      </c>
      <c r="R5" s="417"/>
      <c r="S5" s="292" t="str">
        <f t="shared" si="0"/>
        <v>Não Qualificado</v>
      </c>
      <c r="T5" s="292" t="s">
        <v>127</v>
      </c>
      <c r="U5" s="292"/>
      <c r="V5" s="292" t="s">
        <v>66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3793</v>
      </c>
      <c r="B6" s="104" t="s">
        <v>3815</v>
      </c>
      <c r="C6" s="424" t="s">
        <v>3816</v>
      </c>
      <c r="D6" s="425">
        <v>4442405</v>
      </c>
      <c r="E6" s="293" t="s">
        <v>19</v>
      </c>
      <c r="F6" s="293" t="s">
        <v>66</v>
      </c>
      <c r="G6" s="293" t="s">
        <v>316</v>
      </c>
      <c r="H6" s="293" t="str">
        <f>IFERROR(VLOOKUP(G6,'Cadastro de assessores'!A:B,2,FALSE),"Não Cadastrado")</f>
        <v>18009</v>
      </c>
      <c r="I6" s="293"/>
      <c r="J6" s="24" t="s">
        <v>3796</v>
      </c>
      <c r="K6" s="292" t="s">
        <v>134</v>
      </c>
      <c r="L6" s="415">
        <v>44084</v>
      </c>
      <c r="M6" s="415">
        <v>44084</v>
      </c>
      <c r="N6" s="292"/>
      <c r="O6" s="292" t="s">
        <v>3817</v>
      </c>
      <c r="P6" s="388">
        <v>2.5000000000000001E-2</v>
      </c>
      <c r="Q6" s="421" t="s">
        <v>3818</v>
      </c>
      <c r="R6" s="417"/>
      <c r="S6" s="292" t="str">
        <f t="shared" si="0"/>
        <v>Não Qualificado</v>
      </c>
      <c r="T6" s="292" t="s">
        <v>127</v>
      </c>
      <c r="U6" s="292" t="s">
        <v>3819</v>
      </c>
      <c r="V6" s="292" t="s">
        <v>20</v>
      </c>
      <c r="W6" s="418" t="s">
        <v>3806</v>
      </c>
      <c r="X6" s="418" t="s">
        <v>3806</v>
      </c>
      <c r="Y6" s="418" t="s">
        <v>3806</v>
      </c>
      <c r="Z6" s="418" t="s">
        <v>3806</v>
      </c>
      <c r="AA6" s="418" t="s">
        <v>3806</v>
      </c>
      <c r="AB6" s="418" t="s">
        <v>3806</v>
      </c>
      <c r="AC6" s="418" t="s">
        <v>3806</v>
      </c>
      <c r="AD6" s="418" t="s">
        <v>3806</v>
      </c>
      <c r="AE6" s="418" t="s">
        <v>3806</v>
      </c>
      <c r="AF6" s="418" t="s">
        <v>3806</v>
      </c>
      <c r="AG6" s="418" t="s">
        <v>3806</v>
      </c>
      <c r="AH6" s="418" t="s">
        <v>3820</v>
      </c>
      <c r="AI6" s="418" t="s">
        <v>3821</v>
      </c>
      <c r="AJ6" s="418" t="s">
        <v>3822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3793</v>
      </c>
      <c r="B7" s="104" t="s">
        <v>3582</v>
      </c>
      <c r="C7" s="104" t="s">
        <v>3580</v>
      </c>
      <c r="D7" s="293">
        <v>4461647</v>
      </c>
      <c r="E7" s="293" t="s">
        <v>19</v>
      </c>
      <c r="F7" s="293" t="s">
        <v>20</v>
      </c>
      <c r="G7" s="293" t="s">
        <v>184</v>
      </c>
      <c r="H7" s="293">
        <f>IFERROR(VLOOKUP(G7,'Cadastro de assessores'!A:B,2,FALSE),"Não Cadastrado")</f>
        <v>12332</v>
      </c>
      <c r="I7" s="293"/>
      <c r="J7" s="24" t="s">
        <v>3796</v>
      </c>
      <c r="K7" s="292" t="s">
        <v>134</v>
      </c>
      <c r="L7" s="415">
        <v>44090</v>
      </c>
      <c r="M7" s="415">
        <v>44092</v>
      </c>
      <c r="N7" s="292"/>
      <c r="O7" s="292" t="s">
        <v>3813</v>
      </c>
      <c r="P7" s="388">
        <v>1.2E-2</v>
      </c>
      <c r="Q7" s="421" t="s">
        <v>3823</v>
      </c>
      <c r="R7" s="417"/>
      <c r="S7" s="292" t="str">
        <f t="shared" si="0"/>
        <v/>
      </c>
      <c r="T7" s="292" t="s">
        <v>127</v>
      </c>
      <c r="U7" s="292" t="s">
        <v>3824</v>
      </c>
      <c r="V7" s="292" t="s">
        <v>20</v>
      </c>
      <c r="W7" s="418" t="s">
        <v>3806</v>
      </c>
      <c r="X7" s="418" t="s">
        <v>3806</v>
      </c>
      <c r="Y7" s="418" t="s">
        <v>3806</v>
      </c>
      <c r="Z7" s="418" t="s">
        <v>3806</v>
      </c>
      <c r="AA7" s="418" t="s">
        <v>3806</v>
      </c>
      <c r="AB7" s="418" t="s">
        <v>3806</v>
      </c>
      <c r="AC7" s="418" t="s">
        <v>3806</v>
      </c>
      <c r="AD7" s="418" t="s">
        <v>3806</v>
      </c>
      <c r="AE7" s="418" t="s">
        <v>3806</v>
      </c>
      <c r="AF7" s="418" t="s">
        <v>3806</v>
      </c>
      <c r="AG7" s="418" t="s">
        <v>3806</v>
      </c>
      <c r="AH7" s="418" t="s">
        <v>3825</v>
      </c>
      <c r="AI7" s="418" t="s">
        <v>3826</v>
      </c>
      <c r="AJ7" s="418" t="s">
        <v>3827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3793</v>
      </c>
      <c r="B8" s="104" t="s">
        <v>3582</v>
      </c>
      <c r="C8" s="104" t="s">
        <v>3580</v>
      </c>
      <c r="D8" s="293">
        <v>3345620</v>
      </c>
      <c r="E8" s="293" t="s">
        <v>19</v>
      </c>
      <c r="F8" s="293" t="s">
        <v>20</v>
      </c>
      <c r="G8" s="293" t="s">
        <v>184</v>
      </c>
      <c r="H8" s="293">
        <f>IFERROR(VLOOKUP(G8,'Cadastro de assessores'!A:B,2,FALSE),"Não Cadastrado")</f>
        <v>12332</v>
      </c>
      <c r="I8" s="293"/>
      <c r="J8" s="24" t="s">
        <v>134</v>
      </c>
      <c r="K8" s="292"/>
      <c r="L8" s="415"/>
      <c r="M8" s="415">
        <v>44960</v>
      </c>
      <c r="N8" s="292"/>
      <c r="O8" s="292" t="s">
        <v>3810</v>
      </c>
      <c r="P8" s="388">
        <v>0.01</v>
      </c>
      <c r="Q8" s="421"/>
      <c r="R8" s="417"/>
      <c r="S8" s="292"/>
      <c r="T8" s="292"/>
      <c r="U8" s="292"/>
      <c r="V8" s="292" t="s">
        <v>575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3793</v>
      </c>
      <c r="B9" s="104" t="s">
        <v>3828</v>
      </c>
      <c r="C9" s="122" t="s">
        <v>3829</v>
      </c>
      <c r="D9" s="293">
        <v>3679808</v>
      </c>
      <c r="E9" s="293" t="s">
        <v>19</v>
      </c>
      <c r="F9" s="293" t="s">
        <v>66</v>
      </c>
      <c r="G9" s="293" t="s">
        <v>2039</v>
      </c>
      <c r="H9" s="293">
        <f>IFERROR(VLOOKUP(G9,'Cadastro de assessores'!A:B,2,FALSE),"Não Cadastrado")</f>
        <v>12350</v>
      </c>
      <c r="I9" s="293" t="s">
        <v>165</v>
      </c>
      <c r="J9" s="24" t="s">
        <v>3796</v>
      </c>
      <c r="K9" s="292"/>
      <c r="L9" s="415"/>
      <c r="M9" s="415"/>
      <c r="N9" s="292"/>
      <c r="O9" s="292" t="s">
        <v>3803</v>
      </c>
      <c r="P9" s="388">
        <v>1.4999999999999999E-2</v>
      </c>
      <c r="Q9" s="421"/>
      <c r="R9" s="417"/>
      <c r="S9" s="292"/>
      <c r="T9" s="292"/>
      <c r="U9" s="292"/>
      <c r="V9" s="292" t="s">
        <v>66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3793</v>
      </c>
      <c r="B10" s="104" t="s">
        <v>186</v>
      </c>
      <c r="C10" s="122" t="s">
        <v>182</v>
      </c>
      <c r="D10" s="293">
        <v>2204868</v>
      </c>
      <c r="E10" s="293" t="s">
        <v>19</v>
      </c>
      <c r="F10" s="293" t="s">
        <v>20</v>
      </c>
      <c r="G10" s="293" t="s">
        <v>2518</v>
      </c>
      <c r="H10" s="293" t="str">
        <f>IFERROR(VLOOKUP(G10,'Cadastro de assessores'!A:B,2,FALSE),"Não Cadastrado")</f>
        <v>18256</v>
      </c>
      <c r="I10" s="293"/>
      <c r="J10" s="24" t="s">
        <v>3796</v>
      </c>
      <c r="K10" s="292" t="s">
        <v>134</v>
      </c>
      <c r="L10" s="415">
        <v>44252</v>
      </c>
      <c r="M10" s="415">
        <v>44252</v>
      </c>
      <c r="N10" s="292"/>
      <c r="O10" s="292" t="s">
        <v>3803</v>
      </c>
      <c r="P10" s="388">
        <v>1.4999999999999999E-2</v>
      </c>
      <c r="Q10" s="421" t="s">
        <v>3830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127</v>
      </c>
      <c r="U10" s="292" t="s">
        <v>3831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3793</v>
      </c>
      <c r="B11" s="104" t="s">
        <v>3832</v>
      </c>
      <c r="C11" s="390" t="s">
        <v>3833</v>
      </c>
      <c r="D11" s="299">
        <v>2697792</v>
      </c>
      <c r="E11" s="292" t="s">
        <v>19</v>
      </c>
      <c r="F11" s="292" t="s">
        <v>20</v>
      </c>
      <c r="G11" s="292" t="s">
        <v>3689</v>
      </c>
      <c r="H11" s="292" t="str">
        <f>IFERROR(VLOOKUP(G11,'Cadastro de assessores'!A:B,2,FALSE),"Não Cadastrado")</f>
        <v>18266</v>
      </c>
      <c r="I11" s="292"/>
      <c r="J11" s="24" t="s">
        <v>125</v>
      </c>
      <c r="K11" s="292" t="s">
        <v>3802</v>
      </c>
      <c r="L11" s="387">
        <v>44302</v>
      </c>
      <c r="M11" s="387">
        <v>44302</v>
      </c>
      <c r="N11" s="387">
        <v>44473</v>
      </c>
      <c r="O11" s="292" t="s">
        <v>3817</v>
      </c>
      <c r="P11" s="388">
        <v>2.5000000000000001E-2</v>
      </c>
      <c r="Q11" s="420" t="s">
        <v>3834</v>
      </c>
      <c r="R11" s="417"/>
      <c r="S11" s="292" t="str">
        <f t="shared" si="1"/>
        <v/>
      </c>
      <c r="T11" s="292" t="s">
        <v>127</v>
      </c>
      <c r="U11" s="292" t="s">
        <v>3835</v>
      </c>
      <c r="V11" s="292" t="s">
        <v>3836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2940</v>
      </c>
      <c r="BE11" s="339" t="s">
        <v>2940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3793</v>
      </c>
      <c r="B12" s="104" t="s">
        <v>3837</v>
      </c>
      <c r="C12" s="122" t="s">
        <v>3838</v>
      </c>
      <c r="D12" s="292">
        <v>4447856</v>
      </c>
      <c r="E12" s="292" t="s">
        <v>46</v>
      </c>
      <c r="F12" s="292" t="s">
        <v>20</v>
      </c>
      <c r="G12" s="292" t="s">
        <v>3640</v>
      </c>
      <c r="H12" s="292" t="str">
        <f>IFERROR(VLOOKUP(G12,'Cadastro de assessores'!A:B,2,FALSE),"Não Cadastrado")</f>
        <v>14574</v>
      </c>
      <c r="I12" s="292"/>
      <c r="J12" s="24" t="s">
        <v>125</v>
      </c>
      <c r="K12" s="292" t="s">
        <v>3802</v>
      </c>
      <c r="L12" s="387">
        <v>44085</v>
      </c>
      <c r="M12" s="387">
        <v>44085</v>
      </c>
      <c r="N12" s="387">
        <v>44396</v>
      </c>
      <c r="O12" s="292" t="s">
        <v>3813</v>
      </c>
      <c r="P12" s="388">
        <v>1.2E-2</v>
      </c>
      <c r="Q12" s="420" t="s">
        <v>3839</v>
      </c>
      <c r="R12" s="417"/>
      <c r="S12" s="292" t="str">
        <f t="shared" si="1"/>
        <v/>
      </c>
      <c r="T12" s="292" t="s">
        <v>127</v>
      </c>
      <c r="U12" s="292" t="s">
        <v>3840</v>
      </c>
      <c r="V12" s="292" t="s">
        <v>20</v>
      </c>
      <c r="W12" s="418" t="s">
        <v>3806</v>
      </c>
      <c r="X12" s="418" t="s">
        <v>3806</v>
      </c>
      <c r="Y12" s="418" t="s">
        <v>3806</v>
      </c>
      <c r="Z12" s="418" t="s">
        <v>3806</v>
      </c>
      <c r="AA12" s="418" t="s">
        <v>3806</v>
      </c>
      <c r="AB12" s="418" t="s">
        <v>3806</v>
      </c>
      <c r="AC12" s="418" t="s">
        <v>3806</v>
      </c>
      <c r="AD12" s="418" t="s">
        <v>3806</v>
      </c>
      <c r="AE12" s="418" t="s">
        <v>3806</v>
      </c>
      <c r="AF12" s="418" t="s">
        <v>3806</v>
      </c>
      <c r="AG12" s="418" t="s">
        <v>3806</v>
      </c>
      <c r="AH12" s="418" t="s">
        <v>3841</v>
      </c>
      <c r="AI12" s="418" t="s">
        <v>3842</v>
      </c>
      <c r="AJ12" s="418" t="s">
        <v>3843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2940</v>
      </c>
      <c r="BE12" s="339" t="s">
        <v>2940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3793</v>
      </c>
      <c r="B13" s="104" t="s">
        <v>3844</v>
      </c>
      <c r="C13" s="390" t="s">
        <v>3845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3796</v>
      </c>
      <c r="K13" s="292" t="s">
        <v>134</v>
      </c>
      <c r="L13" s="423">
        <v>44652</v>
      </c>
      <c r="M13" s="423">
        <v>44652</v>
      </c>
      <c r="N13" s="299"/>
      <c r="O13" s="299" t="s">
        <v>3810</v>
      </c>
      <c r="P13" s="392">
        <v>7.0000000000000001E-3</v>
      </c>
      <c r="Q13" s="421"/>
      <c r="R13" s="417"/>
      <c r="S13" s="292"/>
      <c r="T13" s="292" t="s">
        <v>127</v>
      </c>
      <c r="U13" s="292" t="s">
        <v>3819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3793</v>
      </c>
      <c r="B14" s="104" t="s">
        <v>3846</v>
      </c>
      <c r="C14" s="390" t="s">
        <v>3847</v>
      </c>
      <c r="D14" s="422">
        <v>2406947</v>
      </c>
      <c r="E14" s="293" t="s">
        <v>19</v>
      </c>
      <c r="F14" s="293" t="s">
        <v>66</v>
      </c>
      <c r="G14" s="293" t="s">
        <v>144</v>
      </c>
      <c r="H14" s="293">
        <f>IFERROR(VLOOKUP(G14,'Cadastro de assessores'!A:B,2,FALSE),"Não Cadastrado")</f>
        <v>12331</v>
      </c>
      <c r="I14" s="293" t="s">
        <v>165</v>
      </c>
      <c r="J14" s="24" t="s">
        <v>3796</v>
      </c>
      <c r="K14" s="292" t="s">
        <v>134</v>
      </c>
      <c r="L14" s="423">
        <v>44453</v>
      </c>
      <c r="M14" s="423">
        <v>44609</v>
      </c>
      <c r="N14" s="426"/>
      <c r="O14" s="426" t="s">
        <v>3813</v>
      </c>
      <c r="P14" s="388">
        <v>1.2E-2</v>
      </c>
      <c r="Q14" s="421" t="s">
        <v>3848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127</v>
      </c>
      <c r="U14" s="292" t="s">
        <v>3849</v>
      </c>
      <c r="V14" s="299" t="s">
        <v>66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3793</v>
      </c>
      <c r="B15" s="104" t="s">
        <v>239</v>
      </c>
      <c r="C15" s="390" t="s">
        <v>236</v>
      </c>
      <c r="D15" s="293">
        <v>3952119</v>
      </c>
      <c r="E15" s="293" t="s">
        <v>19</v>
      </c>
      <c r="F15" s="293" t="s">
        <v>20</v>
      </c>
      <c r="G15" s="293" t="s">
        <v>3166</v>
      </c>
      <c r="H15" s="293" t="str">
        <f>IFERROR(VLOOKUP(G15,'Cadastro de assessores'!A:B,2,FALSE),"Não Cadastrado")</f>
        <v>13444</v>
      </c>
      <c r="I15" s="293"/>
      <c r="J15" s="24" t="s">
        <v>3796</v>
      </c>
      <c r="K15" s="292" t="s">
        <v>134</v>
      </c>
      <c r="L15" s="415">
        <v>44335</v>
      </c>
      <c r="M15" s="415">
        <v>44335</v>
      </c>
      <c r="N15" s="299"/>
      <c r="O15" s="299" t="s">
        <v>3850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127</v>
      </c>
      <c r="U15" s="292" t="s">
        <v>3805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3793</v>
      </c>
      <c r="B16" s="104" t="s">
        <v>3851</v>
      </c>
      <c r="C16" s="86" t="s">
        <v>3852</v>
      </c>
      <c r="D16" s="299">
        <v>7435703</v>
      </c>
      <c r="E16" s="292" t="s">
        <v>19</v>
      </c>
      <c r="F16" s="292" t="s">
        <v>66</v>
      </c>
      <c r="G16" s="292" t="s">
        <v>316</v>
      </c>
      <c r="H16" s="292" t="str">
        <f>IFERROR(VLOOKUP(G16,'Cadastro de assessores'!A:B,2,FALSE),"Não Cadastrado")</f>
        <v>18009</v>
      </c>
      <c r="I16" s="292" t="s">
        <v>165</v>
      </c>
      <c r="J16" s="24" t="s">
        <v>125</v>
      </c>
      <c r="K16" s="292"/>
      <c r="L16" s="419">
        <v>44547</v>
      </c>
      <c r="M16" s="419">
        <v>44547</v>
      </c>
      <c r="N16" s="391">
        <v>44664</v>
      </c>
      <c r="O16" s="299" t="s">
        <v>3817</v>
      </c>
      <c r="P16" s="388">
        <v>2.5000000000000001E-2</v>
      </c>
      <c r="Q16" s="420" t="s">
        <v>3853</v>
      </c>
      <c r="R16" s="417"/>
      <c r="S16" s="292" t="str">
        <f t="shared" si="2"/>
        <v>Não Qualificado</v>
      </c>
      <c r="T16" s="292" t="s">
        <v>127</v>
      </c>
      <c r="U16" s="292" t="s">
        <v>3854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2940</v>
      </c>
      <c r="BE16" s="339" t="s">
        <v>2940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3793</v>
      </c>
      <c r="B17" s="104" t="s">
        <v>262</v>
      </c>
      <c r="C17" s="122" t="s">
        <v>259</v>
      </c>
      <c r="D17" s="292">
        <v>4831456</v>
      </c>
      <c r="E17" s="293" t="s">
        <v>46</v>
      </c>
      <c r="F17" s="293" t="s">
        <v>20</v>
      </c>
      <c r="G17" s="293" t="s">
        <v>3855</v>
      </c>
      <c r="H17" s="293" t="str">
        <f>IFERROR(VLOOKUP(G17,'Cadastro de assessores'!A:B,2,FALSE),"Não Cadastrado")</f>
        <v>12624</v>
      </c>
      <c r="I17" s="293"/>
      <c r="J17" s="24" t="s">
        <v>3796</v>
      </c>
      <c r="K17" s="292" t="s">
        <v>134</v>
      </c>
      <c r="L17" s="415">
        <v>44231</v>
      </c>
      <c r="M17" s="415">
        <v>44231</v>
      </c>
      <c r="N17" s="292"/>
      <c r="O17" s="292" t="s">
        <v>3817</v>
      </c>
      <c r="P17" s="388">
        <v>2.5000000000000001E-2</v>
      </c>
      <c r="Q17" s="421" t="s">
        <v>3856</v>
      </c>
      <c r="R17" s="417"/>
      <c r="S17" s="292" t="str">
        <f t="shared" si="2"/>
        <v>Não Qualificado</v>
      </c>
      <c r="T17" s="292" t="s">
        <v>127</v>
      </c>
      <c r="U17" s="292" t="s">
        <v>3857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3793</v>
      </c>
      <c r="B18" s="104" t="s">
        <v>3858</v>
      </c>
      <c r="C18" s="104" t="s">
        <v>3859</v>
      </c>
      <c r="D18" s="427">
        <v>8742121</v>
      </c>
      <c r="E18" s="293" t="s">
        <v>19</v>
      </c>
      <c r="F18" s="293" t="s">
        <v>66</v>
      </c>
      <c r="G18" s="293" t="s">
        <v>265</v>
      </c>
      <c r="H18" s="293" t="str">
        <f>IFERROR(VLOOKUP(G18,'Cadastro de assessores'!A:B,2,FALSE),"Não Cadastrado")</f>
        <v>17831</v>
      </c>
      <c r="I18" s="293"/>
      <c r="J18" s="24" t="s">
        <v>3796</v>
      </c>
      <c r="K18" s="292" t="s">
        <v>134</v>
      </c>
      <c r="L18" s="415">
        <v>44722</v>
      </c>
      <c r="M18" s="415">
        <v>44729</v>
      </c>
      <c r="N18" s="292"/>
      <c r="O18" s="292" t="s">
        <v>3813</v>
      </c>
      <c r="P18" s="388">
        <v>1.2E-2</v>
      </c>
      <c r="Q18" s="420"/>
      <c r="R18" s="417"/>
      <c r="S18" s="292" t="s">
        <v>240</v>
      </c>
      <c r="T18" s="292" t="s">
        <v>127</v>
      </c>
      <c r="U18" s="292" t="s">
        <v>3819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2940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3793</v>
      </c>
      <c r="B19" s="104" t="s">
        <v>278</v>
      </c>
      <c r="C19" s="104" t="s">
        <v>3860</v>
      </c>
      <c r="D19" s="293">
        <v>2931994</v>
      </c>
      <c r="E19" s="293" t="s">
        <v>46</v>
      </c>
      <c r="F19" s="293" t="s">
        <v>20</v>
      </c>
      <c r="G19" s="293" t="s">
        <v>3861</v>
      </c>
      <c r="H19" s="293" t="str">
        <f>IFERROR(VLOOKUP(G19,'Cadastro de assessores'!A:B,2,FALSE),"Não Cadastrado")</f>
        <v>1441</v>
      </c>
      <c r="I19" s="293"/>
      <c r="J19" s="24" t="s">
        <v>134</v>
      </c>
      <c r="K19" s="292" t="s">
        <v>134</v>
      </c>
      <c r="L19" s="415">
        <v>44134</v>
      </c>
      <c r="M19" s="415">
        <v>44138</v>
      </c>
      <c r="N19" s="292"/>
      <c r="O19" s="292" t="s">
        <v>3817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127</v>
      </c>
      <c r="U19" s="292" t="s">
        <v>3819</v>
      </c>
      <c r="V19" s="292" t="s">
        <v>20</v>
      </c>
      <c r="W19" s="418" t="s">
        <v>3806</v>
      </c>
      <c r="X19" s="418" t="s">
        <v>3806</v>
      </c>
      <c r="Y19" s="418" t="s">
        <v>3806</v>
      </c>
      <c r="Z19" s="418" t="s">
        <v>3806</v>
      </c>
      <c r="AA19" s="418" t="s">
        <v>3806</v>
      </c>
      <c r="AB19" s="418" t="s">
        <v>3806</v>
      </c>
      <c r="AC19" s="418" t="s">
        <v>3806</v>
      </c>
      <c r="AD19" s="418" t="s">
        <v>3806</v>
      </c>
      <c r="AE19" s="418" t="s">
        <v>3806</v>
      </c>
      <c r="AF19" s="418" t="s">
        <v>3806</v>
      </c>
      <c r="AG19" s="418" t="s">
        <v>3806</v>
      </c>
      <c r="AH19" s="418" t="s">
        <v>3806</v>
      </c>
      <c r="AI19" s="418" t="s">
        <v>3862</v>
      </c>
      <c r="AJ19" s="418" t="s">
        <v>3863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3793</v>
      </c>
      <c r="B20" s="104" t="s">
        <v>3864</v>
      </c>
      <c r="C20" s="104" t="s">
        <v>3865</v>
      </c>
      <c r="D20" s="293">
        <v>4608802</v>
      </c>
      <c r="E20" s="293" t="s">
        <v>2931</v>
      </c>
      <c r="F20" s="293" t="s">
        <v>20</v>
      </c>
      <c r="G20" s="293" t="s">
        <v>2931</v>
      </c>
      <c r="H20" s="293" t="str">
        <f>IFERROR(VLOOKUP(G20,'Cadastro de assessores'!A:B,2,FALSE),"Não Cadastrado")</f>
        <v>18986</v>
      </c>
      <c r="I20" s="293" t="s">
        <v>165</v>
      </c>
      <c r="J20" s="24" t="s">
        <v>134</v>
      </c>
      <c r="K20" s="292" t="s">
        <v>134</v>
      </c>
      <c r="L20" s="416">
        <v>44158</v>
      </c>
      <c r="M20" s="416">
        <v>44180</v>
      </c>
      <c r="N20" s="292"/>
      <c r="O20" s="292" t="s">
        <v>3803</v>
      </c>
      <c r="P20" s="388">
        <v>1.4999999999999999E-2</v>
      </c>
      <c r="Q20" s="421" t="s">
        <v>3866</v>
      </c>
      <c r="R20" s="417"/>
      <c r="S20" s="292" t="str">
        <f t="shared" si="3"/>
        <v/>
      </c>
      <c r="T20" s="293" t="s">
        <v>127</v>
      </c>
      <c r="U20" s="293" t="s">
        <v>3867</v>
      </c>
      <c r="V20" s="293" t="s">
        <v>20</v>
      </c>
      <c r="W20" s="418" t="s">
        <v>3806</v>
      </c>
      <c r="X20" s="418" t="s">
        <v>3806</v>
      </c>
      <c r="Y20" s="418" t="s">
        <v>3806</v>
      </c>
      <c r="Z20" s="418" t="s">
        <v>3806</v>
      </c>
      <c r="AA20" s="418" t="s">
        <v>3806</v>
      </c>
      <c r="AB20" s="418" t="s">
        <v>3806</v>
      </c>
      <c r="AC20" s="418" t="s">
        <v>3806</v>
      </c>
      <c r="AD20" s="418" t="s">
        <v>3806</v>
      </c>
      <c r="AE20" s="418" t="s">
        <v>3806</v>
      </c>
      <c r="AF20" s="418" t="s">
        <v>3806</v>
      </c>
      <c r="AG20" s="418" t="s">
        <v>3806</v>
      </c>
      <c r="AH20" s="418" t="s">
        <v>3806</v>
      </c>
      <c r="AI20" s="418" t="s">
        <v>3806</v>
      </c>
      <c r="AJ20" s="418" t="s">
        <v>3806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3793</v>
      </c>
      <c r="B21" s="104" t="s">
        <v>3868</v>
      </c>
      <c r="C21" s="104" t="s">
        <v>3869</v>
      </c>
      <c r="D21" s="293">
        <v>4441469</v>
      </c>
      <c r="E21" s="293" t="s">
        <v>46</v>
      </c>
      <c r="F21" s="293" t="s">
        <v>20</v>
      </c>
      <c r="G21" s="293" t="s">
        <v>3870</v>
      </c>
      <c r="H21" s="293" t="str">
        <f>IFERROR(VLOOKUP(G21,'Cadastro de assessores'!A:B,2,FALSE),"Não Cadastrado")</f>
        <v>1298</v>
      </c>
      <c r="I21" s="293"/>
      <c r="J21" s="24" t="s">
        <v>3796</v>
      </c>
      <c r="K21" s="292" t="s">
        <v>134</v>
      </c>
      <c r="L21" s="415">
        <v>44078</v>
      </c>
      <c r="M21" s="415">
        <v>44085</v>
      </c>
      <c r="N21" s="292"/>
      <c r="O21" s="292" t="s">
        <v>3803</v>
      </c>
      <c r="P21" s="388">
        <v>1.4999999999999999E-2</v>
      </c>
      <c r="Q21" s="420" t="s">
        <v>3871</v>
      </c>
      <c r="R21" s="417"/>
      <c r="S21" s="292" t="str">
        <f t="shared" si="3"/>
        <v>Não Qualificado</v>
      </c>
      <c r="T21" s="292" t="s">
        <v>127</v>
      </c>
      <c r="U21" s="292" t="s">
        <v>3811</v>
      </c>
      <c r="V21" s="292" t="s">
        <v>20</v>
      </c>
      <c r="W21" s="418" t="s">
        <v>3806</v>
      </c>
      <c r="X21" s="418" t="s">
        <v>3806</v>
      </c>
      <c r="Y21" s="418" t="s">
        <v>3806</v>
      </c>
      <c r="Z21" s="418" t="s">
        <v>3806</v>
      </c>
      <c r="AA21" s="418" t="s">
        <v>3806</v>
      </c>
      <c r="AB21" s="418" t="s">
        <v>3806</v>
      </c>
      <c r="AC21" s="418" t="s">
        <v>3806</v>
      </c>
      <c r="AD21" s="418" t="s">
        <v>3806</v>
      </c>
      <c r="AE21" s="418" t="s">
        <v>3806</v>
      </c>
      <c r="AF21" s="418" t="s">
        <v>3806</v>
      </c>
      <c r="AG21" s="418" t="s">
        <v>3806</v>
      </c>
      <c r="AH21" s="418" t="s">
        <v>3872</v>
      </c>
      <c r="AI21" s="418" t="s">
        <v>3873</v>
      </c>
      <c r="AJ21" s="418" t="s">
        <v>3874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3793</v>
      </c>
      <c r="B22" s="104" t="s">
        <v>3875</v>
      </c>
      <c r="C22" s="86" t="s">
        <v>3876</v>
      </c>
      <c r="D22" s="426">
        <v>6032020</v>
      </c>
      <c r="E22" s="293" t="s">
        <v>19</v>
      </c>
      <c r="F22" s="293" t="s">
        <v>20</v>
      </c>
      <c r="G22" s="426" t="s">
        <v>2518</v>
      </c>
      <c r="H22" s="293" t="str">
        <f>IFERROR(VLOOKUP(G22,'Cadastro de assessores'!A:B,2,FALSE),"Não Cadastrado")</f>
        <v>18256</v>
      </c>
      <c r="I22" s="293"/>
      <c r="J22" s="24" t="s">
        <v>3796</v>
      </c>
      <c r="K22" s="292" t="s">
        <v>134</v>
      </c>
      <c r="L22" s="415">
        <v>44537</v>
      </c>
      <c r="M22" s="415">
        <v>44537</v>
      </c>
      <c r="N22" s="426"/>
      <c r="O22" s="426" t="s">
        <v>3810</v>
      </c>
      <c r="P22" s="392">
        <v>7.0000000000000001E-3</v>
      </c>
      <c r="Q22" s="311" t="s">
        <v>3877</v>
      </c>
      <c r="R22" s="417"/>
      <c r="S22" s="292" t="str">
        <f t="shared" si="3"/>
        <v>Não Qualificado</v>
      </c>
      <c r="T22" s="292" t="s">
        <v>127</v>
      </c>
      <c r="U22" s="292" t="s">
        <v>3805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3793</v>
      </c>
      <c r="B23" s="104" t="s">
        <v>3878</v>
      </c>
      <c r="C23" s="122" t="s">
        <v>3879</v>
      </c>
      <c r="D23" s="292">
        <v>4656935</v>
      </c>
      <c r="E23" s="292" t="s">
        <v>46</v>
      </c>
      <c r="F23" s="292" t="s">
        <v>20</v>
      </c>
      <c r="G23" s="292" t="s">
        <v>3880</v>
      </c>
      <c r="H23" s="292" t="str">
        <f>IFERROR(VLOOKUP(G23,'Cadastro de assessores'!A:B,2,FALSE),"Não Cadastrado")</f>
        <v>13598</v>
      </c>
      <c r="I23" s="292"/>
      <c r="J23" s="24" t="s">
        <v>125</v>
      </c>
      <c r="K23" s="292" t="s">
        <v>3802</v>
      </c>
      <c r="L23" s="419">
        <v>44180</v>
      </c>
      <c r="M23" s="419">
        <v>44180</v>
      </c>
      <c r="N23" s="387">
        <v>44705</v>
      </c>
      <c r="O23" s="292" t="s">
        <v>3813</v>
      </c>
      <c r="P23" s="388">
        <v>1.2E-2</v>
      </c>
      <c r="Q23" s="420" t="s">
        <v>3881</v>
      </c>
      <c r="R23" s="417"/>
      <c r="S23" s="292" t="str">
        <f t="shared" si="3"/>
        <v>Não Qualificado</v>
      </c>
      <c r="T23" s="292" t="s">
        <v>127</v>
      </c>
      <c r="U23" s="292" t="s">
        <v>3824</v>
      </c>
      <c r="V23" s="292" t="s">
        <v>20</v>
      </c>
      <c r="W23" s="418" t="s">
        <v>3806</v>
      </c>
      <c r="X23" s="418" t="s">
        <v>3806</v>
      </c>
      <c r="Y23" s="418" t="s">
        <v>3806</v>
      </c>
      <c r="Z23" s="418" t="s">
        <v>3806</v>
      </c>
      <c r="AA23" s="418" t="s">
        <v>3806</v>
      </c>
      <c r="AB23" s="418" t="s">
        <v>3806</v>
      </c>
      <c r="AC23" s="418" t="s">
        <v>3806</v>
      </c>
      <c r="AD23" s="418" t="s">
        <v>3806</v>
      </c>
      <c r="AE23" s="418" t="s">
        <v>3806</v>
      </c>
      <c r="AF23" s="418" t="s">
        <v>3806</v>
      </c>
      <c r="AG23" s="418" t="s">
        <v>3806</v>
      </c>
      <c r="AH23" s="418" t="s">
        <v>3806</v>
      </c>
      <c r="AI23" s="418" t="s">
        <v>3806</v>
      </c>
      <c r="AJ23" s="418" t="s">
        <v>3806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3793</v>
      </c>
      <c r="B24" s="104" t="s">
        <v>3882</v>
      </c>
      <c r="C24" s="390" t="s">
        <v>3883</v>
      </c>
      <c r="D24" s="422">
        <v>7988957</v>
      </c>
      <c r="E24" s="293" t="s">
        <v>46</v>
      </c>
      <c r="F24" s="293" t="s">
        <v>20</v>
      </c>
      <c r="G24" s="293" t="s">
        <v>3884</v>
      </c>
      <c r="H24" s="293">
        <f>IFERROR(VLOOKUP(G24,'Cadastro de assessores'!A:B,2,FALSE),"Não Cadastrado")</f>
        <v>12356</v>
      </c>
      <c r="I24" s="293"/>
      <c r="J24" s="24" t="s">
        <v>3796</v>
      </c>
      <c r="K24" s="292" t="s">
        <v>134</v>
      </c>
      <c r="L24" s="415">
        <v>44636</v>
      </c>
      <c r="M24" s="415">
        <v>44655</v>
      </c>
      <c r="N24" s="292"/>
      <c r="O24" s="292" t="s">
        <v>3885</v>
      </c>
      <c r="P24" s="388">
        <v>0.01</v>
      </c>
      <c r="Q24" s="420" t="s">
        <v>3886</v>
      </c>
      <c r="R24" s="417"/>
      <c r="S24" s="292" t="str">
        <f t="shared" si="3"/>
        <v>Não Qualificado</v>
      </c>
      <c r="T24" s="292" t="s">
        <v>127</v>
      </c>
      <c r="U24" s="292" t="s">
        <v>3831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3793</v>
      </c>
      <c r="B25" s="104" t="s">
        <v>3887</v>
      </c>
      <c r="C25" s="104" t="s">
        <v>3888</v>
      </c>
      <c r="D25" s="293">
        <v>97869</v>
      </c>
      <c r="E25" s="293" t="s">
        <v>2931</v>
      </c>
      <c r="F25" s="293" t="s">
        <v>20</v>
      </c>
      <c r="G25" s="293" t="s">
        <v>2931</v>
      </c>
      <c r="H25" s="293" t="str">
        <f>IFERROR(VLOOKUP(G25,'Cadastro de assessores'!A:B,2,FALSE),"Não Cadastrado")</f>
        <v>18986</v>
      </c>
      <c r="I25" s="293" t="s">
        <v>165</v>
      </c>
      <c r="J25" s="24" t="s">
        <v>3796</v>
      </c>
      <c r="K25" s="292" t="s">
        <v>134</v>
      </c>
      <c r="L25" s="415">
        <v>44218</v>
      </c>
      <c r="M25" s="415">
        <v>44218</v>
      </c>
      <c r="N25" s="292"/>
      <c r="O25" s="292" t="s">
        <v>3803</v>
      </c>
      <c r="P25" s="388">
        <v>1.4999999999999999E-2</v>
      </c>
      <c r="Q25" s="420"/>
      <c r="R25" s="417"/>
      <c r="S25" s="292" t="str">
        <f t="shared" si="3"/>
        <v/>
      </c>
      <c r="T25" s="292" t="s">
        <v>127</v>
      </c>
      <c r="U25" s="292" t="s">
        <v>3819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3806</v>
      </c>
      <c r="AJ25" s="418" t="s">
        <v>3806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3793</v>
      </c>
      <c r="B26" s="104" t="s">
        <v>3889</v>
      </c>
      <c r="C26" s="390" t="s">
        <v>3890</v>
      </c>
      <c r="D26" s="299">
        <v>5959474</v>
      </c>
      <c r="E26" s="292" t="s">
        <v>19</v>
      </c>
      <c r="F26" s="292" t="s">
        <v>66</v>
      </c>
      <c r="G26" s="292" t="s">
        <v>316</v>
      </c>
      <c r="H26" s="292" t="str">
        <f>IFERROR(VLOOKUP(G26,'Cadastro de assessores'!A:B,2,FALSE),"Não Cadastrado")</f>
        <v>18009</v>
      </c>
      <c r="I26" s="292" t="s">
        <v>165</v>
      </c>
      <c r="J26" s="24" t="s">
        <v>125</v>
      </c>
      <c r="K26" s="292" t="s">
        <v>3802</v>
      </c>
      <c r="L26" s="387">
        <v>44405</v>
      </c>
      <c r="M26" s="387">
        <v>44405</v>
      </c>
      <c r="N26" s="299"/>
      <c r="O26" s="299" t="s">
        <v>3817</v>
      </c>
      <c r="P26" s="388">
        <v>2.5000000000000001E-2</v>
      </c>
      <c r="Q26" s="167"/>
      <c r="R26" s="417"/>
      <c r="S26" s="292" t="str">
        <f t="shared" si="3"/>
        <v/>
      </c>
      <c r="T26" s="292" t="s">
        <v>127</v>
      </c>
      <c r="U26" s="292" t="s">
        <v>3891</v>
      </c>
      <c r="V26" s="292" t="s">
        <v>3892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2940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3793</v>
      </c>
      <c r="B27" s="104" t="s">
        <v>3893</v>
      </c>
      <c r="C27" s="122" t="s">
        <v>3894</v>
      </c>
      <c r="D27" s="292">
        <v>4701151</v>
      </c>
      <c r="E27" s="292" t="s">
        <v>19</v>
      </c>
      <c r="F27" s="292" t="s">
        <v>20</v>
      </c>
      <c r="G27" s="292" t="s">
        <v>3801</v>
      </c>
      <c r="H27" s="292" t="str">
        <f>IFERROR(VLOOKUP(G27,'Cadastro de assessores'!A:B,2,FALSE),"Não Cadastrado")</f>
        <v>17679</v>
      </c>
      <c r="I27" s="292"/>
      <c r="J27" s="24" t="s">
        <v>125</v>
      </c>
      <c r="K27" s="292" t="s">
        <v>3802</v>
      </c>
      <c r="L27" s="387">
        <v>44245</v>
      </c>
      <c r="M27" s="387">
        <v>44245</v>
      </c>
      <c r="N27" s="387">
        <v>44442</v>
      </c>
      <c r="O27" s="292" t="s">
        <v>3803</v>
      </c>
      <c r="P27" s="388">
        <v>1.4999999999999999E-2</v>
      </c>
      <c r="Q27" s="420" t="s">
        <v>3895</v>
      </c>
      <c r="R27" s="417"/>
      <c r="S27" s="292" t="str">
        <f t="shared" si="3"/>
        <v>Não Qualificado</v>
      </c>
      <c r="T27" s="292" t="s">
        <v>127</v>
      </c>
      <c r="U27" s="292" t="s">
        <v>3805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2940</v>
      </c>
      <c r="BE27" s="339" t="s">
        <v>2940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3793</v>
      </c>
      <c r="B28" s="104" t="s">
        <v>3896</v>
      </c>
      <c r="C28" s="122" t="s">
        <v>3897</v>
      </c>
      <c r="D28" s="292">
        <v>4711937</v>
      </c>
      <c r="E28" s="292" t="s">
        <v>46</v>
      </c>
      <c r="F28" s="292" t="s">
        <v>20</v>
      </c>
      <c r="G28" s="292" t="s">
        <v>3898</v>
      </c>
      <c r="H28" s="292" t="str">
        <f>IFERROR(VLOOKUP(G28,'Cadastro de assessores'!A:B,2,FALSE),"Não Cadastrado")</f>
        <v>14284</v>
      </c>
      <c r="I28" s="292"/>
      <c r="J28" s="24" t="s">
        <v>125</v>
      </c>
      <c r="K28" s="292" t="s">
        <v>3802</v>
      </c>
      <c r="L28" s="387">
        <v>44202</v>
      </c>
      <c r="M28" s="387">
        <v>44202</v>
      </c>
      <c r="N28" s="292" t="s">
        <v>3899</v>
      </c>
      <c r="O28" s="292" t="s">
        <v>3797</v>
      </c>
      <c r="P28" s="388">
        <v>0.02</v>
      </c>
      <c r="Q28" s="420" t="s">
        <v>3900</v>
      </c>
      <c r="R28" s="417"/>
      <c r="S28" s="292" t="str">
        <f t="shared" si="3"/>
        <v>Não Qualificado</v>
      </c>
      <c r="T28" s="292" t="s">
        <v>127</v>
      </c>
      <c r="U28" s="292" t="s">
        <v>3824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2940</v>
      </c>
      <c r="BE28" s="339" t="s">
        <v>2940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3793</v>
      </c>
      <c r="B29" s="104" t="s">
        <v>3901</v>
      </c>
      <c r="C29" s="390" t="s">
        <v>3902</v>
      </c>
      <c r="D29" s="299">
        <v>5251498</v>
      </c>
      <c r="E29" s="293" t="s">
        <v>19</v>
      </c>
      <c r="F29" s="293" t="s">
        <v>66</v>
      </c>
      <c r="G29" s="293" t="s">
        <v>316</v>
      </c>
      <c r="H29" s="293" t="str">
        <f>IFERROR(VLOOKUP(G29,'Cadastro de assessores'!A:B,2,FALSE),"Não Cadastrado")</f>
        <v>18009</v>
      </c>
      <c r="I29" s="293"/>
      <c r="J29" s="24" t="s">
        <v>3796</v>
      </c>
      <c r="K29" s="292" t="s">
        <v>134</v>
      </c>
      <c r="L29" s="415">
        <v>44671</v>
      </c>
      <c r="M29" s="415">
        <v>44308</v>
      </c>
      <c r="N29" s="292"/>
      <c r="O29" s="292" t="s">
        <v>3817</v>
      </c>
      <c r="P29" s="388">
        <v>2.5000000000000001E-2</v>
      </c>
      <c r="Q29" s="167"/>
      <c r="R29" s="417"/>
      <c r="S29" s="292" t="str">
        <f t="shared" si="3"/>
        <v/>
      </c>
      <c r="T29" s="292" t="s">
        <v>127</v>
      </c>
      <c r="U29" s="292" t="s">
        <v>3854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3793</v>
      </c>
      <c r="B30" s="104" t="s">
        <v>378</v>
      </c>
      <c r="C30" s="104" t="s">
        <v>2988</v>
      </c>
      <c r="D30" s="293">
        <v>3403198</v>
      </c>
      <c r="E30" s="293" t="s">
        <v>19</v>
      </c>
      <c r="F30" s="293" t="s">
        <v>20</v>
      </c>
      <c r="G30" s="293" t="s">
        <v>437</v>
      </c>
      <c r="H30" s="293" t="str">
        <f>IFERROR(VLOOKUP(G30,'Cadastro de assessores'!A:B,2,FALSE),"Não Cadastrado")</f>
        <v>18993</v>
      </c>
      <c r="I30" s="293"/>
      <c r="J30" s="24" t="s">
        <v>3796</v>
      </c>
      <c r="K30" s="292" t="s">
        <v>134</v>
      </c>
      <c r="L30" s="415">
        <v>44188</v>
      </c>
      <c r="M30" s="415">
        <v>43675</v>
      </c>
      <c r="N30" s="292"/>
      <c r="O30" s="292" t="s">
        <v>3810</v>
      </c>
      <c r="P30" s="428">
        <v>1E-4</v>
      </c>
      <c r="Q30" s="420"/>
      <c r="R30" s="417"/>
      <c r="S30" s="292" t="str">
        <f t="shared" si="3"/>
        <v/>
      </c>
      <c r="T30" s="292" t="s">
        <v>127</v>
      </c>
      <c r="U30" s="292" t="s">
        <v>3824</v>
      </c>
      <c r="V30" s="292" t="s">
        <v>20</v>
      </c>
      <c r="W30" s="418" t="s">
        <v>3806</v>
      </c>
      <c r="X30" s="418" t="s">
        <v>3806</v>
      </c>
      <c r="Y30" s="418" t="s">
        <v>3806</v>
      </c>
      <c r="Z30" s="418" t="s">
        <v>3806</v>
      </c>
      <c r="AA30" s="418" t="s">
        <v>3806</v>
      </c>
      <c r="AB30" s="418" t="s">
        <v>3806</v>
      </c>
      <c r="AC30" s="418" t="s">
        <v>3806</v>
      </c>
      <c r="AD30" s="418" t="s">
        <v>3806</v>
      </c>
      <c r="AE30" s="418" t="s">
        <v>3806</v>
      </c>
      <c r="AF30" s="418" t="s">
        <v>3806</v>
      </c>
      <c r="AG30" s="418" t="s">
        <v>3806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3793</v>
      </c>
      <c r="B31" s="104" t="s">
        <v>3903</v>
      </c>
      <c r="C31" s="390" t="s">
        <v>3904</v>
      </c>
      <c r="D31" s="299">
        <v>8446035</v>
      </c>
      <c r="E31" s="293" t="s">
        <v>19</v>
      </c>
      <c r="F31" s="293" t="s">
        <v>66</v>
      </c>
      <c r="G31" s="299" t="s">
        <v>265</v>
      </c>
      <c r="H31" s="293" t="str">
        <f>IFERROR(VLOOKUP(G31,'Cadastro de assessores'!A:B,2,FALSE),"Não Cadastrado")</f>
        <v>17831</v>
      </c>
      <c r="I31" s="293" t="s">
        <v>165</v>
      </c>
      <c r="J31" s="24" t="s">
        <v>3796</v>
      </c>
      <c r="K31" s="292" t="s">
        <v>145</v>
      </c>
      <c r="L31" s="293" t="s">
        <v>3905</v>
      </c>
      <c r="M31" s="415">
        <v>44692</v>
      </c>
      <c r="N31" s="299"/>
      <c r="O31" s="299" t="s">
        <v>3803</v>
      </c>
      <c r="P31" s="388">
        <v>1.4999999999999999E-2</v>
      </c>
      <c r="Q31" s="167" t="s">
        <v>3906</v>
      </c>
      <c r="R31" s="417"/>
      <c r="S31" s="292" t="str">
        <f t="shared" si="3"/>
        <v>Não Qualificado</v>
      </c>
      <c r="T31" s="292" t="s">
        <v>127</v>
      </c>
      <c r="U31" s="292" t="s">
        <v>3849</v>
      </c>
      <c r="V31" s="299" t="s">
        <v>66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2940</v>
      </c>
      <c r="BE31" s="339" t="s">
        <v>2940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3793</v>
      </c>
      <c r="B32" s="104" t="s">
        <v>384</v>
      </c>
      <c r="C32" s="104" t="s">
        <v>3907</v>
      </c>
      <c r="D32" s="293">
        <v>4425564</v>
      </c>
      <c r="E32" s="293" t="s">
        <v>19</v>
      </c>
      <c r="F32" s="293" t="s">
        <v>20</v>
      </c>
      <c r="G32" s="293" t="s">
        <v>360</v>
      </c>
      <c r="H32" s="293">
        <f>IFERROR(VLOOKUP(G32,'Cadastro de assessores'!A:B,2,FALSE),"Não Cadastrado")</f>
        <v>12359</v>
      </c>
      <c r="I32" s="293"/>
      <c r="J32" s="24" t="s">
        <v>3796</v>
      </c>
      <c r="K32" s="292" t="s">
        <v>134</v>
      </c>
      <c r="L32" s="415">
        <v>44076</v>
      </c>
      <c r="M32" s="415">
        <v>44076</v>
      </c>
      <c r="N32" s="292"/>
      <c r="O32" s="292" t="s">
        <v>3813</v>
      </c>
      <c r="P32" s="388">
        <v>1.2E-2</v>
      </c>
      <c r="Q32" s="420" t="s">
        <v>3908</v>
      </c>
      <c r="R32" s="417"/>
      <c r="S32" s="292" t="str">
        <f t="shared" si="3"/>
        <v>Não Qualificado</v>
      </c>
      <c r="T32" s="292" t="s">
        <v>127</v>
      </c>
      <c r="U32" s="292" t="s">
        <v>3831</v>
      </c>
      <c r="V32" s="292" t="s">
        <v>20</v>
      </c>
      <c r="W32" s="418" t="s">
        <v>3806</v>
      </c>
      <c r="X32" s="418" t="s">
        <v>3806</v>
      </c>
      <c r="Y32" s="418" t="s">
        <v>3806</v>
      </c>
      <c r="Z32" s="418" t="s">
        <v>3806</v>
      </c>
      <c r="AA32" s="418" t="s">
        <v>3806</v>
      </c>
      <c r="AB32" s="418" t="s">
        <v>3806</v>
      </c>
      <c r="AC32" s="418" t="s">
        <v>3806</v>
      </c>
      <c r="AD32" s="418" t="s">
        <v>3806</v>
      </c>
      <c r="AE32" s="418" t="s">
        <v>3806</v>
      </c>
      <c r="AF32" s="418" t="s">
        <v>3806</v>
      </c>
      <c r="AG32" s="418" t="s">
        <v>3806</v>
      </c>
      <c r="AH32" s="418" t="s">
        <v>3909</v>
      </c>
      <c r="AI32" s="418" t="s">
        <v>3910</v>
      </c>
      <c r="AJ32" s="418" t="s">
        <v>3911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3793</v>
      </c>
      <c r="B33" s="104" t="s">
        <v>387</v>
      </c>
      <c r="C33" s="390" t="s">
        <v>3912</v>
      </c>
      <c r="D33" s="299">
        <v>5613795</v>
      </c>
      <c r="E33" s="293" t="s">
        <v>19</v>
      </c>
      <c r="F33" s="293" t="s">
        <v>66</v>
      </c>
      <c r="G33" s="299" t="s">
        <v>265</v>
      </c>
      <c r="H33" s="299" t="str">
        <f>IFERROR(VLOOKUP(G33,'Cadastro de assessores'!A:B,2,FALSE),"Não Cadastrado")</f>
        <v>17831</v>
      </c>
      <c r="I33" s="299" t="s">
        <v>165</v>
      </c>
      <c r="J33" s="24" t="s">
        <v>3796</v>
      </c>
      <c r="K33" s="292" t="s">
        <v>134</v>
      </c>
      <c r="L33" s="415">
        <v>44351</v>
      </c>
      <c r="M33" s="415">
        <v>44351</v>
      </c>
      <c r="N33" s="292"/>
      <c r="O33" s="292" t="s">
        <v>3803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127</v>
      </c>
      <c r="U33" s="292" t="s">
        <v>3913</v>
      </c>
      <c r="V33" s="299" t="s">
        <v>66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3793</v>
      </c>
      <c r="B34" s="104" t="s">
        <v>3914</v>
      </c>
      <c r="C34" s="390" t="s">
        <v>392</v>
      </c>
      <c r="D34" s="299">
        <v>429563</v>
      </c>
      <c r="E34" s="293" t="s">
        <v>19</v>
      </c>
      <c r="F34" s="293" t="s">
        <v>66</v>
      </c>
      <c r="G34" s="293" t="s">
        <v>144</v>
      </c>
      <c r="H34" s="299">
        <f>IFERROR(VLOOKUP(G34,'Cadastro de assessores'!A:B,2,FALSE),"Não Cadastrado")</f>
        <v>12331</v>
      </c>
      <c r="I34" s="293" t="s">
        <v>165</v>
      </c>
      <c r="J34" s="24" t="s">
        <v>3796</v>
      </c>
      <c r="K34" s="292" t="s">
        <v>134</v>
      </c>
      <c r="L34" s="423">
        <v>44820</v>
      </c>
      <c r="M34" s="423">
        <v>44820</v>
      </c>
      <c r="N34" s="292"/>
      <c r="O34" s="292" t="s">
        <v>3803</v>
      </c>
      <c r="P34" s="388">
        <v>1.4999999999999999E-2</v>
      </c>
      <c r="Q34" s="420"/>
      <c r="R34" s="417"/>
      <c r="S34" s="292"/>
      <c r="T34" s="292"/>
      <c r="U34" s="292"/>
      <c r="V34" s="292" t="s">
        <v>66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3793</v>
      </c>
      <c r="B35" s="104" t="s">
        <v>403</v>
      </c>
      <c r="C35" s="390" t="s">
        <v>401</v>
      </c>
      <c r="D35" s="299">
        <v>4085020</v>
      </c>
      <c r="E35" s="293" t="s">
        <v>19</v>
      </c>
      <c r="F35" s="293" t="s">
        <v>66</v>
      </c>
      <c r="G35" s="293" t="s">
        <v>67</v>
      </c>
      <c r="H35" s="293" t="s">
        <v>3915</v>
      </c>
      <c r="I35" s="293" t="s">
        <v>165</v>
      </c>
      <c r="J35" s="24" t="s">
        <v>134</v>
      </c>
      <c r="K35" s="292" t="s">
        <v>134</v>
      </c>
      <c r="L35" s="423">
        <v>44767</v>
      </c>
      <c r="M35" s="423">
        <v>44767</v>
      </c>
      <c r="N35" s="292"/>
      <c r="O35" s="292" t="s">
        <v>3810</v>
      </c>
      <c r="P35" s="388">
        <v>7.0000000000000001E-3</v>
      </c>
      <c r="Q35" s="420" t="s">
        <v>3916</v>
      </c>
      <c r="R35" s="417"/>
      <c r="S35" s="292" t="s">
        <v>240</v>
      </c>
      <c r="T35" s="292" t="s">
        <v>127</v>
      </c>
      <c r="U35" s="292" t="s">
        <v>3849</v>
      </c>
      <c r="V35" s="292" t="s">
        <v>66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2940</v>
      </c>
      <c r="BE35" s="339" t="s">
        <v>2940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3793</v>
      </c>
      <c r="B36" s="104" t="s">
        <v>3917</v>
      </c>
      <c r="C36" s="390" t="s">
        <v>3918</v>
      </c>
      <c r="D36" s="299">
        <v>6582452</v>
      </c>
      <c r="E36" s="293" t="s">
        <v>19</v>
      </c>
      <c r="F36" s="293" t="s">
        <v>66</v>
      </c>
      <c r="G36" s="293" t="s">
        <v>316</v>
      </c>
      <c r="H36" s="299" t="str">
        <f>IFERROR(VLOOKUP(G36,'Cadastro de assessores'!A:B,2,FALSE),"Não Cadastrado")</f>
        <v>18009</v>
      </c>
      <c r="I36" s="293" t="s">
        <v>165</v>
      </c>
      <c r="J36" s="24" t="s">
        <v>125</v>
      </c>
      <c r="K36" s="292" t="s">
        <v>134</v>
      </c>
      <c r="L36" s="391">
        <v>44454</v>
      </c>
      <c r="M36" s="391">
        <v>44460</v>
      </c>
      <c r="N36" s="429">
        <v>44838</v>
      </c>
      <c r="O36" s="426" t="s">
        <v>3919</v>
      </c>
      <c r="P36" s="388">
        <v>8.0000000000000002E-3</v>
      </c>
      <c r="Q36" s="167" t="s">
        <v>3920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127</v>
      </c>
      <c r="U36" s="292" t="s">
        <v>3854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3921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3793</v>
      </c>
      <c r="B37" s="104" t="s">
        <v>3922</v>
      </c>
      <c r="C37" s="390" t="s">
        <v>3923</v>
      </c>
      <c r="D37" s="292">
        <v>4432780</v>
      </c>
      <c r="E37" s="293" t="s">
        <v>19</v>
      </c>
      <c r="F37" s="293" t="s">
        <v>66</v>
      </c>
      <c r="G37" s="293" t="s">
        <v>316</v>
      </c>
      <c r="H37" s="293" t="str">
        <f>IFERROR(VLOOKUP(G37,'Cadastro de assessores'!A:B,2,FALSE),"Não Cadastrado")</f>
        <v>18009</v>
      </c>
      <c r="I37" s="293" t="s">
        <v>165</v>
      </c>
      <c r="J37" s="24" t="s">
        <v>3796</v>
      </c>
      <c r="K37" s="292" t="s">
        <v>134</v>
      </c>
      <c r="L37" s="415">
        <v>44078</v>
      </c>
      <c r="M37" s="415">
        <v>44078</v>
      </c>
      <c r="N37" s="292"/>
      <c r="O37" s="292" t="s">
        <v>3817</v>
      </c>
      <c r="P37" s="388">
        <v>2.5000000000000001E-2</v>
      </c>
      <c r="Q37" s="421" t="s">
        <v>3924</v>
      </c>
      <c r="R37" s="417"/>
      <c r="S37" s="292" t="str">
        <f t="shared" si="4"/>
        <v>Não Qualificado</v>
      </c>
      <c r="T37" s="293" t="s">
        <v>171</v>
      </c>
      <c r="U37" s="293" t="s">
        <v>3805</v>
      </c>
      <c r="V37" s="293" t="s">
        <v>20</v>
      </c>
      <c r="W37" s="418" t="s">
        <v>3806</v>
      </c>
      <c r="X37" s="418" t="s">
        <v>3806</v>
      </c>
      <c r="Y37" s="418" t="s">
        <v>3806</v>
      </c>
      <c r="Z37" s="418" t="s">
        <v>3806</v>
      </c>
      <c r="AA37" s="418" t="s">
        <v>3806</v>
      </c>
      <c r="AB37" s="418" t="s">
        <v>3806</v>
      </c>
      <c r="AC37" s="418" t="s">
        <v>3806</v>
      </c>
      <c r="AD37" s="418" t="s">
        <v>3806</v>
      </c>
      <c r="AE37" s="418" t="s">
        <v>3806</v>
      </c>
      <c r="AF37" s="418" t="s">
        <v>3806</v>
      </c>
      <c r="AG37" s="418" t="s">
        <v>3806</v>
      </c>
      <c r="AH37" s="418" t="s">
        <v>3925</v>
      </c>
      <c r="AI37" s="418" t="s">
        <v>3926</v>
      </c>
      <c r="AJ37" s="418" t="s">
        <v>3927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3793</v>
      </c>
      <c r="B38" s="104" t="s">
        <v>3928</v>
      </c>
      <c r="C38" s="122" t="s">
        <v>3929</v>
      </c>
      <c r="D38" s="430">
        <v>8104478</v>
      </c>
      <c r="E38" s="293" t="s">
        <v>19</v>
      </c>
      <c r="F38" s="293" t="s">
        <v>66</v>
      </c>
      <c r="G38" s="293" t="s">
        <v>2039</v>
      </c>
      <c r="H38" s="293">
        <f>IFERROR(VLOOKUP(G38,'Cadastro de assessores'!A:B,2,FALSE),"Não Cadastrado")</f>
        <v>12350</v>
      </c>
      <c r="I38" s="293"/>
      <c r="J38" s="24" t="s">
        <v>3796</v>
      </c>
      <c r="K38" s="292" t="s">
        <v>134</v>
      </c>
      <c r="L38" s="423">
        <v>44798</v>
      </c>
      <c r="M38" s="423">
        <v>44812</v>
      </c>
      <c r="N38" s="299"/>
      <c r="O38" s="299" t="s">
        <v>3810</v>
      </c>
      <c r="P38" s="388">
        <v>0.01</v>
      </c>
      <c r="Q38" s="420" t="s">
        <v>3930</v>
      </c>
      <c r="R38" s="417"/>
      <c r="S38" s="292"/>
      <c r="T38" s="293"/>
      <c r="U38" s="293"/>
      <c r="V38" s="293" t="s">
        <v>66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3793</v>
      </c>
      <c r="B39" s="104" t="s">
        <v>413</v>
      </c>
      <c r="C39" s="122" t="s">
        <v>411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3796</v>
      </c>
      <c r="K39" s="292" t="s">
        <v>134</v>
      </c>
      <c r="L39" s="423">
        <v>44631</v>
      </c>
      <c r="M39" s="423">
        <v>44636</v>
      </c>
      <c r="N39" s="299"/>
      <c r="O39" s="299" t="s">
        <v>3810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127</v>
      </c>
      <c r="U39" s="293" t="s">
        <v>3931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3793</v>
      </c>
      <c r="B40" s="104" t="s">
        <v>3932</v>
      </c>
      <c r="C40" s="122" t="s">
        <v>3933</v>
      </c>
      <c r="D40" s="292">
        <v>4785856</v>
      </c>
      <c r="E40" s="293" t="s">
        <v>19</v>
      </c>
      <c r="F40" s="293" t="s">
        <v>20</v>
      </c>
      <c r="G40" s="293" t="s">
        <v>360</v>
      </c>
      <c r="H40" s="293">
        <f>IFERROR(VLOOKUP(G40,'Cadastro de assessores'!A:B,2,FALSE),"Não Cadastrado")</f>
        <v>12359</v>
      </c>
      <c r="I40" s="293"/>
      <c r="J40" s="24" t="s">
        <v>3796</v>
      </c>
      <c r="K40" s="292" t="s">
        <v>134</v>
      </c>
      <c r="L40" s="415">
        <v>44582</v>
      </c>
      <c r="M40" s="415">
        <v>44217</v>
      </c>
      <c r="N40" s="292"/>
      <c r="O40" s="292" t="s">
        <v>3803</v>
      </c>
      <c r="P40" s="388">
        <v>1.4999999999999999E-2</v>
      </c>
      <c r="Q40" s="420" t="s">
        <v>3908</v>
      </c>
      <c r="R40" s="417"/>
      <c r="S40" s="292" t="str">
        <f t="shared" si="5"/>
        <v>Não Qualificado</v>
      </c>
      <c r="T40" s="293" t="s">
        <v>127</v>
      </c>
      <c r="U40" s="293" t="s">
        <v>3805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3806</v>
      </c>
      <c r="AJ40" s="418"/>
      <c r="AK40" s="339" t="s">
        <v>3154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3793</v>
      </c>
      <c r="B41" s="104" t="s">
        <v>3934</v>
      </c>
      <c r="C41" s="390" t="s">
        <v>3935</v>
      </c>
      <c r="D41" s="299">
        <v>6456469</v>
      </c>
      <c r="E41" s="293" t="s">
        <v>19</v>
      </c>
      <c r="F41" s="293" t="s">
        <v>20</v>
      </c>
      <c r="G41" s="293" t="s">
        <v>791</v>
      </c>
      <c r="H41" s="293" t="str">
        <f>IFERROR(VLOOKUP(G41,'Cadastro de assessores'!A:B,2,FALSE),"Não Cadastrado")</f>
        <v>18467</v>
      </c>
      <c r="I41" s="293"/>
      <c r="J41" s="24" t="s">
        <v>125</v>
      </c>
      <c r="K41" s="292" t="s">
        <v>134</v>
      </c>
      <c r="L41" s="415">
        <v>44463</v>
      </c>
      <c r="M41" s="415">
        <v>44466</v>
      </c>
      <c r="N41" s="391">
        <v>45154</v>
      </c>
      <c r="O41" s="299" t="s">
        <v>3797</v>
      </c>
      <c r="P41" s="388">
        <v>0.02</v>
      </c>
      <c r="Q41" s="167" t="s">
        <v>3936</v>
      </c>
      <c r="R41" s="417"/>
      <c r="S41" s="292" t="str">
        <f t="shared" si="5"/>
        <v>Não Qualificado</v>
      </c>
      <c r="T41" s="292" t="s">
        <v>127</v>
      </c>
      <c r="U41" s="292" t="s">
        <v>3937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3793</v>
      </c>
      <c r="B42" s="104" t="s">
        <v>3938</v>
      </c>
      <c r="C42" s="390" t="s">
        <v>3939</v>
      </c>
      <c r="D42" s="299">
        <v>5650271</v>
      </c>
      <c r="E42" s="292" t="s">
        <v>46</v>
      </c>
      <c r="F42" s="292" t="s">
        <v>20</v>
      </c>
      <c r="G42" s="292" t="s">
        <v>3640</v>
      </c>
      <c r="H42" s="292" t="str">
        <f>IFERROR(VLOOKUP(G42,'Cadastro de assessores'!A:B,2,FALSE),"Não Cadastrado")</f>
        <v>14574</v>
      </c>
      <c r="I42" s="292"/>
      <c r="J42" s="24" t="s">
        <v>125</v>
      </c>
      <c r="K42" s="292" t="s">
        <v>3802</v>
      </c>
      <c r="L42" s="387">
        <v>44362</v>
      </c>
      <c r="M42" s="387">
        <v>44362</v>
      </c>
      <c r="N42" s="387">
        <v>44680</v>
      </c>
      <c r="O42" s="292" t="s">
        <v>3813</v>
      </c>
      <c r="P42" s="388">
        <v>1.2E-2</v>
      </c>
      <c r="Q42" s="167" t="s">
        <v>3940</v>
      </c>
      <c r="R42" s="417"/>
      <c r="S42" s="292" t="str">
        <f t="shared" si="5"/>
        <v/>
      </c>
      <c r="T42" s="292" t="s">
        <v>127</v>
      </c>
      <c r="U42" s="292" t="s">
        <v>3941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2940</v>
      </c>
      <c r="BE42" s="339" t="s">
        <v>2940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3793</v>
      </c>
      <c r="B43" s="104" t="s">
        <v>3942</v>
      </c>
      <c r="C43" s="390" t="s">
        <v>3943</v>
      </c>
      <c r="D43" s="299">
        <v>5167097</v>
      </c>
      <c r="E43" s="293" t="s">
        <v>19</v>
      </c>
      <c r="F43" s="293" t="s">
        <v>66</v>
      </c>
      <c r="G43" s="293" t="s">
        <v>316</v>
      </c>
      <c r="H43" s="293" t="str">
        <f>IFERROR(VLOOKUP(G43,'Cadastro de assessores'!A:B,2,FALSE),"Não Cadastrado")</f>
        <v>18009</v>
      </c>
      <c r="I43" s="293"/>
      <c r="J43" s="24" t="s">
        <v>3796</v>
      </c>
      <c r="K43" s="292" t="s">
        <v>134</v>
      </c>
      <c r="L43" s="415">
        <v>44295</v>
      </c>
      <c r="M43" s="415">
        <v>44298</v>
      </c>
      <c r="N43" s="292"/>
      <c r="O43" s="292" t="s">
        <v>3813</v>
      </c>
      <c r="P43" s="388">
        <v>1.2E-2</v>
      </c>
      <c r="Q43" s="167" t="s">
        <v>3944</v>
      </c>
      <c r="R43" s="417"/>
      <c r="S43" s="292" t="str">
        <f t="shared" si="5"/>
        <v/>
      </c>
      <c r="T43" s="292" t="s">
        <v>127</v>
      </c>
      <c r="U43" s="292" t="s">
        <v>3891</v>
      </c>
      <c r="V43" s="292" t="s">
        <v>3892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2940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3793</v>
      </c>
      <c r="B44" s="104" t="s">
        <v>3945</v>
      </c>
      <c r="C44" s="122" t="s">
        <v>3946</v>
      </c>
      <c r="D44" s="292">
        <v>3214407</v>
      </c>
      <c r="E44" s="293" t="s">
        <v>19</v>
      </c>
      <c r="F44" s="293" t="s">
        <v>66</v>
      </c>
      <c r="G44" s="293" t="s">
        <v>67</v>
      </c>
      <c r="H44" s="292" t="str">
        <f>IFERROR(VLOOKUP(G44,'Cadastro de assessores'!A:B,2,FALSE),"Não Cadastrado")</f>
        <v>18890</v>
      </c>
      <c r="I44" s="292"/>
      <c r="J44" s="24" t="s">
        <v>3796</v>
      </c>
      <c r="K44" s="292" t="s">
        <v>145</v>
      </c>
      <c r="L44" s="293" t="s">
        <v>3154</v>
      </c>
      <c r="M44" s="415"/>
      <c r="N44" s="292"/>
      <c r="O44" s="292" t="s">
        <v>3817</v>
      </c>
      <c r="P44" s="388">
        <v>2.5000000000000001E-2</v>
      </c>
      <c r="Q44" s="420"/>
      <c r="R44" s="417"/>
      <c r="S44" s="292"/>
      <c r="T44" s="292"/>
      <c r="U44" s="292"/>
      <c r="V44" s="292" t="s">
        <v>66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3793</v>
      </c>
      <c r="B45" s="104" t="s">
        <v>3947</v>
      </c>
      <c r="C45" s="122" t="s">
        <v>3948</v>
      </c>
      <c r="D45" s="292">
        <v>2352697</v>
      </c>
      <c r="E45" s="292" t="s">
        <v>2931</v>
      </c>
      <c r="F45" s="292" t="s">
        <v>20</v>
      </c>
      <c r="G45" s="292" t="s">
        <v>2931</v>
      </c>
      <c r="H45" s="292" t="str">
        <f>IFERROR(VLOOKUP(G45,'Cadastro de assessores'!A:B,2,FALSE),"Não Cadastrado")</f>
        <v>18986</v>
      </c>
      <c r="I45" s="292"/>
      <c r="J45" s="24" t="s">
        <v>125</v>
      </c>
      <c r="K45" s="292" t="s">
        <v>3802</v>
      </c>
      <c r="L45" s="387">
        <v>43838</v>
      </c>
      <c r="M45" s="387">
        <v>43838</v>
      </c>
      <c r="N45" s="387">
        <v>44042</v>
      </c>
      <c r="O45" s="292" t="s">
        <v>3949</v>
      </c>
      <c r="P45" s="388">
        <v>2.5000000000000001E-2</v>
      </c>
      <c r="Q45" s="420" t="s">
        <v>3950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127</v>
      </c>
      <c r="U45" s="292" t="s">
        <v>3937</v>
      </c>
      <c r="V45" s="292" t="s">
        <v>20</v>
      </c>
      <c r="W45" s="418" t="s">
        <v>3806</v>
      </c>
      <c r="X45" s="418" t="s">
        <v>3806</v>
      </c>
      <c r="Y45" s="418" t="s">
        <v>3806</v>
      </c>
      <c r="Z45" s="418" t="s">
        <v>3951</v>
      </c>
      <c r="AA45" s="418" t="s">
        <v>3952</v>
      </c>
      <c r="AB45" s="418" t="s">
        <v>3953</v>
      </c>
      <c r="AC45" s="418" t="s">
        <v>3954</v>
      </c>
      <c r="AD45" s="418" t="s">
        <v>3955</v>
      </c>
      <c r="AE45" s="418" t="s">
        <v>3806</v>
      </c>
      <c r="AF45" s="418" t="s">
        <v>3806</v>
      </c>
      <c r="AG45" s="418" t="s">
        <v>3806</v>
      </c>
      <c r="AH45" s="418"/>
      <c r="AI45" s="418"/>
      <c r="AJ45" s="418"/>
      <c r="AK45" s="339"/>
      <c r="AL45" s="339"/>
      <c r="AM45" s="339" t="s">
        <v>3154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2940</v>
      </c>
      <c r="BE45" s="339" t="s">
        <v>2940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3793</v>
      </c>
      <c r="B46" s="104" t="s">
        <v>3956</v>
      </c>
      <c r="C46" s="122" t="s">
        <v>3957</v>
      </c>
      <c r="D46" s="292">
        <v>3653911</v>
      </c>
      <c r="E46" s="293" t="s">
        <v>19</v>
      </c>
      <c r="F46" s="293" t="s">
        <v>66</v>
      </c>
      <c r="G46" s="293" t="s">
        <v>144</v>
      </c>
      <c r="H46" s="293"/>
      <c r="I46" s="293"/>
      <c r="J46" s="24" t="s">
        <v>3796</v>
      </c>
      <c r="K46" s="293"/>
      <c r="L46" s="415"/>
      <c r="M46" s="415">
        <v>44936</v>
      </c>
      <c r="N46" s="292"/>
      <c r="O46" s="292" t="s">
        <v>3810</v>
      </c>
      <c r="P46" s="388">
        <v>1.2E-2</v>
      </c>
      <c r="Q46" s="420"/>
      <c r="R46" s="417"/>
      <c r="S46" s="292"/>
      <c r="T46" s="292"/>
      <c r="U46" s="292"/>
      <c r="V46" s="292" t="s">
        <v>66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3793</v>
      </c>
      <c r="B47" s="104" t="s">
        <v>3958</v>
      </c>
      <c r="C47" s="122" t="s">
        <v>3959</v>
      </c>
      <c r="D47" s="292">
        <v>3022313</v>
      </c>
      <c r="E47" s="293" t="s">
        <v>19</v>
      </c>
      <c r="F47" s="293" t="s">
        <v>20</v>
      </c>
      <c r="G47" s="293" t="s">
        <v>3960</v>
      </c>
      <c r="H47" s="293" t="str">
        <f>IFERROR(VLOOKUP(G47,'Cadastro de assessores'!A:B,2,FALSE),"Não Cadastrado")</f>
        <v>16855</v>
      </c>
      <c r="I47" s="293"/>
      <c r="J47" s="24" t="s">
        <v>134</v>
      </c>
      <c r="K47" s="293" t="s">
        <v>134</v>
      </c>
      <c r="L47" s="415">
        <v>43964</v>
      </c>
      <c r="M47" s="415">
        <v>44061</v>
      </c>
      <c r="N47" s="292"/>
      <c r="O47" s="292" t="s">
        <v>3803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127</v>
      </c>
      <c r="U47" s="292" t="s">
        <v>3931</v>
      </c>
      <c r="V47" s="292" t="s">
        <v>20</v>
      </c>
      <c r="W47" s="418" t="s">
        <v>3806</v>
      </c>
      <c r="X47" s="418" t="s">
        <v>3806</v>
      </c>
      <c r="Y47" s="418" t="s">
        <v>3806</v>
      </c>
      <c r="Z47" s="418" t="s">
        <v>3806</v>
      </c>
      <c r="AA47" s="418" t="s">
        <v>3806</v>
      </c>
      <c r="AB47" s="418" t="s">
        <v>3806</v>
      </c>
      <c r="AC47" s="418" t="s">
        <v>3806</v>
      </c>
      <c r="AD47" s="418" t="s">
        <v>3806</v>
      </c>
      <c r="AE47" s="418" t="s">
        <v>3806</v>
      </c>
      <c r="AF47" s="418" t="s">
        <v>3806</v>
      </c>
      <c r="AG47" s="418" t="s">
        <v>3961</v>
      </c>
      <c r="AH47" s="418" t="s">
        <v>3962</v>
      </c>
      <c r="AI47" s="418" t="s">
        <v>3963</v>
      </c>
      <c r="AJ47" s="418" t="s">
        <v>3964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3793</v>
      </c>
      <c r="B48" s="104" t="s">
        <v>3965</v>
      </c>
      <c r="C48" s="122" t="s">
        <v>3966</v>
      </c>
      <c r="D48" s="292">
        <v>4744962</v>
      </c>
      <c r="E48" s="293" t="s">
        <v>2931</v>
      </c>
      <c r="F48" s="293" t="s">
        <v>20</v>
      </c>
      <c r="G48" s="293" t="s">
        <v>2932</v>
      </c>
      <c r="H48" s="293" t="str">
        <f>IFERROR(VLOOKUP(G48,'Cadastro de assessores'!A:B,2,FALSE),"Não Cadastrado")</f>
        <v>17573</v>
      </c>
      <c r="I48" s="293"/>
      <c r="J48" s="24" t="s">
        <v>3796</v>
      </c>
      <c r="K48" s="292" t="s">
        <v>145</v>
      </c>
      <c r="L48" s="293" t="s">
        <v>3154</v>
      </c>
      <c r="M48" s="424"/>
      <c r="N48" s="292"/>
      <c r="O48" s="292" t="s">
        <v>3813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127</v>
      </c>
      <c r="U48" s="292" t="s">
        <v>3854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2940</v>
      </c>
      <c r="BE48" s="339" t="s">
        <v>2940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3793</v>
      </c>
      <c r="B49" s="104" t="s">
        <v>3967</v>
      </c>
      <c r="C49" s="390" t="s">
        <v>3968</v>
      </c>
      <c r="D49" s="292">
        <v>4448534</v>
      </c>
      <c r="E49" s="293" t="s">
        <v>19</v>
      </c>
      <c r="F49" s="293" t="s">
        <v>66</v>
      </c>
      <c r="G49" s="293" t="s">
        <v>316</v>
      </c>
      <c r="H49" s="293" t="str">
        <f>IFERROR(VLOOKUP(G49,'Cadastro de assessores'!A:B,2,FALSE),"Não Cadastrado")</f>
        <v>18009</v>
      </c>
      <c r="I49" s="293"/>
      <c r="J49" s="24" t="s">
        <v>125</v>
      </c>
      <c r="K49" s="293" t="s">
        <v>134</v>
      </c>
      <c r="L49" s="415">
        <v>44090</v>
      </c>
      <c r="M49" s="415">
        <v>44090</v>
      </c>
      <c r="N49" s="387">
        <v>44942</v>
      </c>
      <c r="O49" s="292" t="s">
        <v>3817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127</v>
      </c>
      <c r="U49" s="292" t="s">
        <v>3831</v>
      </c>
      <c r="V49" s="292" t="s">
        <v>20</v>
      </c>
      <c r="W49" s="418" t="s">
        <v>3806</v>
      </c>
      <c r="X49" s="418" t="s">
        <v>3806</v>
      </c>
      <c r="Y49" s="418" t="s">
        <v>3806</v>
      </c>
      <c r="Z49" s="418" t="s">
        <v>3806</v>
      </c>
      <c r="AA49" s="418" t="s">
        <v>3806</v>
      </c>
      <c r="AB49" s="418" t="s">
        <v>3806</v>
      </c>
      <c r="AC49" s="418" t="s">
        <v>3806</v>
      </c>
      <c r="AD49" s="418" t="s">
        <v>3806</v>
      </c>
      <c r="AE49" s="418" t="s">
        <v>3806</v>
      </c>
      <c r="AF49" s="418" t="s">
        <v>3806</v>
      </c>
      <c r="AG49" s="418" t="s">
        <v>3806</v>
      </c>
      <c r="AH49" s="418" t="s">
        <v>3969</v>
      </c>
      <c r="AI49" s="418" t="s">
        <v>3970</v>
      </c>
      <c r="AJ49" s="418" t="s">
        <v>3971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3793</v>
      </c>
      <c r="B50" s="104" t="s">
        <v>3972</v>
      </c>
      <c r="C50" s="390" t="s">
        <v>3973</v>
      </c>
      <c r="D50" s="299">
        <v>3533638</v>
      </c>
      <c r="E50" s="292" t="s">
        <v>19</v>
      </c>
      <c r="F50" s="292" t="s">
        <v>20</v>
      </c>
      <c r="G50" s="292" t="s">
        <v>3689</v>
      </c>
      <c r="H50" s="292" t="str">
        <f>IFERROR(VLOOKUP(G50,'Cadastro de assessores'!A:B,2,FALSE),"Não Cadastrado")</f>
        <v>18266</v>
      </c>
      <c r="I50" s="292"/>
      <c r="J50" s="24" t="s">
        <v>125</v>
      </c>
      <c r="K50" s="292" t="s">
        <v>3802</v>
      </c>
      <c r="L50" s="387">
        <v>44354</v>
      </c>
      <c r="M50" s="387">
        <v>44354</v>
      </c>
      <c r="N50" s="419">
        <v>44559</v>
      </c>
      <c r="O50" s="292" t="s">
        <v>3817</v>
      </c>
      <c r="P50" s="388">
        <v>2.5000000000000001E-2</v>
      </c>
      <c r="Q50" s="420" t="s">
        <v>3974</v>
      </c>
      <c r="R50" s="417"/>
      <c r="S50" s="292" t="str">
        <f t="shared" si="6"/>
        <v>Não Qualificado</v>
      </c>
      <c r="T50" s="292" t="s">
        <v>127</v>
      </c>
      <c r="U50" s="292" t="s">
        <v>3975</v>
      </c>
      <c r="V50" s="299" t="s">
        <v>66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2940</v>
      </c>
      <c r="BE50" s="339" t="s">
        <v>2940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3793</v>
      </c>
      <c r="B51" s="104" t="s">
        <v>3976</v>
      </c>
      <c r="C51" s="122" t="s">
        <v>3977</v>
      </c>
      <c r="D51" s="292">
        <v>4859203</v>
      </c>
      <c r="E51" s="292" t="s">
        <v>19</v>
      </c>
      <c r="F51" s="292" t="s">
        <v>66</v>
      </c>
      <c r="G51" s="292" t="s">
        <v>316</v>
      </c>
      <c r="H51" s="292" t="str">
        <f>IFERROR(VLOOKUP(G51,'Cadastro de assessores'!A:B,2,FALSE),"Não Cadastrado")</f>
        <v>18009</v>
      </c>
      <c r="I51" s="292"/>
      <c r="J51" s="24" t="s">
        <v>125</v>
      </c>
      <c r="K51" s="292" t="s">
        <v>3802</v>
      </c>
      <c r="L51" s="387">
        <v>44239</v>
      </c>
      <c r="M51" s="387">
        <v>44239</v>
      </c>
      <c r="N51" s="387">
        <v>44700</v>
      </c>
      <c r="O51" s="292" t="s">
        <v>3797</v>
      </c>
      <c r="P51" s="388">
        <v>0.02</v>
      </c>
      <c r="Q51" s="420" t="s">
        <v>3978</v>
      </c>
      <c r="R51" s="417"/>
      <c r="S51" s="292" t="str">
        <f t="shared" si="6"/>
        <v>Não Qualificado</v>
      </c>
      <c r="T51" s="292" t="s">
        <v>127</v>
      </c>
      <c r="U51" s="292" t="s">
        <v>3854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2940</v>
      </c>
      <c r="BE51" s="339" t="s">
        <v>2940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3793</v>
      </c>
      <c r="B52" s="104" t="s">
        <v>3979</v>
      </c>
      <c r="C52" s="122" t="s">
        <v>3980</v>
      </c>
      <c r="D52" s="292">
        <v>4409995</v>
      </c>
      <c r="E52" s="292" t="s">
        <v>46</v>
      </c>
      <c r="F52" s="292" t="s">
        <v>20</v>
      </c>
      <c r="G52" s="292" t="s">
        <v>3981</v>
      </c>
      <c r="H52" s="292" t="str">
        <f>IFERROR(VLOOKUP(G52,'Cadastro de assessores'!A:B,2,FALSE),"Não Cadastrado")</f>
        <v>16459</v>
      </c>
      <c r="I52" s="292"/>
      <c r="J52" s="24" t="s">
        <v>125</v>
      </c>
      <c r="K52" s="292" t="s">
        <v>3802</v>
      </c>
      <c r="L52" s="419">
        <v>44120</v>
      </c>
      <c r="M52" s="419">
        <v>44120</v>
      </c>
      <c r="N52" s="387">
        <v>44413</v>
      </c>
      <c r="O52" s="292" t="s">
        <v>3803</v>
      </c>
      <c r="P52" s="388">
        <v>1.4999999999999999E-2</v>
      </c>
      <c r="Q52" s="420" t="s">
        <v>3982</v>
      </c>
      <c r="R52" s="417"/>
      <c r="S52" s="292" t="str">
        <f t="shared" si="6"/>
        <v/>
      </c>
      <c r="T52" s="292" t="s">
        <v>127</v>
      </c>
      <c r="U52" s="292" t="s">
        <v>3824</v>
      </c>
      <c r="V52" s="292" t="s">
        <v>20</v>
      </c>
      <c r="W52" s="418" t="s">
        <v>3806</v>
      </c>
      <c r="X52" s="418" t="s">
        <v>3806</v>
      </c>
      <c r="Y52" s="418" t="s">
        <v>3806</v>
      </c>
      <c r="Z52" s="418" t="s">
        <v>3806</v>
      </c>
      <c r="AA52" s="418" t="s">
        <v>3806</v>
      </c>
      <c r="AB52" s="418" t="s">
        <v>3806</v>
      </c>
      <c r="AC52" s="418" t="s">
        <v>3806</v>
      </c>
      <c r="AD52" s="418" t="s">
        <v>3806</v>
      </c>
      <c r="AE52" s="418" t="s">
        <v>3806</v>
      </c>
      <c r="AF52" s="418" t="s">
        <v>3806</v>
      </c>
      <c r="AG52" s="418" t="s">
        <v>3806</v>
      </c>
      <c r="AH52" s="418" t="s">
        <v>3806</v>
      </c>
      <c r="AI52" s="418" t="s">
        <v>3983</v>
      </c>
      <c r="AJ52" s="418" t="s">
        <v>3984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2940</v>
      </c>
      <c r="BE52" s="339" t="s">
        <v>2940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3793</v>
      </c>
      <c r="B53" s="104" t="s">
        <v>3985</v>
      </c>
      <c r="C53" s="122" t="s">
        <v>502</v>
      </c>
      <c r="D53" s="292">
        <v>3281393</v>
      </c>
      <c r="E53" s="293" t="s">
        <v>19</v>
      </c>
      <c r="F53" s="293" t="s">
        <v>66</v>
      </c>
      <c r="G53" s="293" t="s">
        <v>144</v>
      </c>
      <c r="H53" s="292">
        <f>IFERROR(VLOOKUP(G53,'Cadastro de assessores'!A:B,2,FALSE),"Não Cadastrado")</f>
        <v>12331</v>
      </c>
      <c r="I53" s="292"/>
      <c r="J53" s="24" t="s">
        <v>3796</v>
      </c>
      <c r="K53" s="293" t="s">
        <v>134</v>
      </c>
      <c r="L53" s="415">
        <v>44795</v>
      </c>
      <c r="M53" s="415">
        <v>44795</v>
      </c>
      <c r="N53" s="292"/>
      <c r="O53" s="292" t="s">
        <v>3813</v>
      </c>
      <c r="P53" s="428">
        <v>1.2E-2</v>
      </c>
      <c r="Q53" s="420"/>
      <c r="R53" s="417"/>
      <c r="S53" s="292"/>
      <c r="T53" s="292" t="s">
        <v>171</v>
      </c>
      <c r="U53" s="292"/>
      <c r="V53" s="292" t="s">
        <v>66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3793</v>
      </c>
      <c r="B54" s="104" t="s">
        <v>510</v>
      </c>
      <c r="C54" s="122" t="s">
        <v>508</v>
      </c>
      <c r="D54" s="292">
        <v>1000249</v>
      </c>
      <c r="E54" s="293" t="s">
        <v>46</v>
      </c>
      <c r="F54" s="293" t="s">
        <v>20</v>
      </c>
      <c r="G54" s="293" t="s">
        <v>325</v>
      </c>
      <c r="H54" s="293" t="str">
        <f>IFERROR(VLOOKUP(G54,'Cadastro de assessores'!A:B,2,FALSE),"Não Cadastrado")</f>
        <v>17896</v>
      </c>
      <c r="I54" s="293"/>
      <c r="J54" s="24" t="s">
        <v>3796</v>
      </c>
      <c r="K54" s="293" t="s">
        <v>134</v>
      </c>
      <c r="L54" s="415">
        <v>44110</v>
      </c>
      <c r="M54" s="415">
        <v>44112</v>
      </c>
      <c r="N54" s="292"/>
      <c r="O54" s="292" t="s">
        <v>3986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171</v>
      </c>
      <c r="U54" s="292" t="s">
        <v>3987</v>
      </c>
      <c r="V54" s="292" t="s">
        <v>20</v>
      </c>
      <c r="W54" s="418" t="s">
        <v>3806</v>
      </c>
      <c r="X54" s="418" t="s">
        <v>3806</v>
      </c>
      <c r="Y54" s="418" t="s">
        <v>3806</v>
      </c>
      <c r="Z54" s="418" t="s">
        <v>3806</v>
      </c>
      <c r="AA54" s="418" t="s">
        <v>3806</v>
      </c>
      <c r="AB54" s="418" t="s">
        <v>3806</v>
      </c>
      <c r="AC54" s="418" t="s">
        <v>3806</v>
      </c>
      <c r="AD54" s="418" t="s">
        <v>3806</v>
      </c>
      <c r="AE54" s="418" t="s">
        <v>3806</v>
      </c>
      <c r="AF54" s="418" t="s">
        <v>3806</v>
      </c>
      <c r="AG54" s="418" t="s">
        <v>3806</v>
      </c>
      <c r="AH54" s="418" t="s">
        <v>3806</v>
      </c>
      <c r="AI54" s="418" t="s">
        <v>3988</v>
      </c>
      <c r="AJ54" s="418" t="s">
        <v>3989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3793</v>
      </c>
      <c r="B55" s="104" t="s">
        <v>519</v>
      </c>
      <c r="C55" s="122" t="s">
        <v>3990</v>
      </c>
      <c r="D55" s="292">
        <v>552896</v>
      </c>
      <c r="E55" s="293" t="s">
        <v>19</v>
      </c>
      <c r="F55" s="293" t="s">
        <v>66</v>
      </c>
      <c r="G55" s="293" t="s">
        <v>3991</v>
      </c>
      <c r="H55" s="293">
        <f>IFERROR(VLOOKUP(G55,'Cadastro de assessores'!A:B,2,FALSE),"Não Cadastrado")</f>
        <v>12351</v>
      </c>
      <c r="I55" s="293"/>
      <c r="J55" s="24" t="s">
        <v>134</v>
      </c>
      <c r="K55" s="293" t="s">
        <v>134</v>
      </c>
      <c r="L55" s="415">
        <v>44694</v>
      </c>
      <c r="M55" s="415">
        <v>44694</v>
      </c>
      <c r="N55" s="292"/>
      <c r="O55" s="292" t="s">
        <v>3803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127</v>
      </c>
      <c r="U55" s="292" t="s">
        <v>3849</v>
      </c>
      <c r="V55" s="292" t="s">
        <v>66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3793</v>
      </c>
      <c r="B56" s="104" t="s">
        <v>3992</v>
      </c>
      <c r="C56" s="122" t="s">
        <v>3993</v>
      </c>
      <c r="D56" s="292">
        <v>4743547</v>
      </c>
      <c r="E56" s="292" t="s">
        <v>19</v>
      </c>
      <c r="F56" s="292" t="s">
        <v>66</v>
      </c>
      <c r="G56" s="292" t="s">
        <v>316</v>
      </c>
      <c r="H56" s="292" t="str">
        <f>IFERROR(VLOOKUP(G56,'Cadastro de assessores'!A:B,2,FALSE),"Não Cadastrado")</f>
        <v>18009</v>
      </c>
      <c r="I56" s="292"/>
      <c r="J56" s="24" t="s">
        <v>125</v>
      </c>
      <c r="K56" s="292" t="s">
        <v>3802</v>
      </c>
      <c r="L56" s="387">
        <v>44252</v>
      </c>
      <c r="M56" s="387">
        <v>44252</v>
      </c>
      <c r="N56" s="387">
        <v>44657</v>
      </c>
      <c r="O56" s="292" t="s">
        <v>3797</v>
      </c>
      <c r="P56" s="388">
        <v>0.02</v>
      </c>
      <c r="Q56" s="420" t="s">
        <v>3994</v>
      </c>
      <c r="R56" s="417"/>
      <c r="S56" s="292" t="str">
        <f t="shared" si="7"/>
        <v>Não Qualificado</v>
      </c>
      <c r="T56" s="292" t="s">
        <v>127</v>
      </c>
      <c r="U56" s="292" t="s">
        <v>3854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2940</v>
      </c>
      <c r="BE56" s="339" t="s">
        <v>2940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3793</v>
      </c>
      <c r="B57" s="104" t="s">
        <v>3034</v>
      </c>
      <c r="C57" s="122" t="s">
        <v>3032</v>
      </c>
      <c r="D57" s="292">
        <v>4648767</v>
      </c>
      <c r="E57" s="293" t="s">
        <v>19</v>
      </c>
      <c r="F57" s="293" t="s">
        <v>20</v>
      </c>
      <c r="G57" s="293" t="s">
        <v>437</v>
      </c>
      <c r="H57" s="293" t="str">
        <f>IFERROR(VLOOKUP(G57,'Cadastro de assessores'!A:B,2,FALSE),"Não Cadastrado")</f>
        <v>18993</v>
      </c>
      <c r="I57" s="293"/>
      <c r="J57" s="24" t="s">
        <v>3796</v>
      </c>
      <c r="K57" s="293" t="s">
        <v>134</v>
      </c>
      <c r="L57" s="415">
        <v>44312</v>
      </c>
      <c r="M57" s="415">
        <v>44312</v>
      </c>
      <c r="N57" s="292"/>
      <c r="O57" s="292" t="s">
        <v>3797</v>
      </c>
      <c r="P57" s="388">
        <v>0.01</v>
      </c>
      <c r="Q57" s="420"/>
      <c r="R57" s="417"/>
      <c r="S57" s="292" t="str">
        <f t="shared" si="7"/>
        <v>Não Qualificado</v>
      </c>
      <c r="T57" s="292" t="s">
        <v>127</v>
      </c>
      <c r="U57" s="292" t="s">
        <v>3931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3154</v>
      </c>
      <c r="AN57" s="339" t="s">
        <v>3154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3793</v>
      </c>
      <c r="B58" s="104" t="s">
        <v>3995</v>
      </c>
      <c r="C58" s="390" t="s">
        <v>3996</v>
      </c>
      <c r="D58" s="293">
        <v>6889397</v>
      </c>
      <c r="E58" s="293" t="s">
        <v>19</v>
      </c>
      <c r="F58" s="293" t="s">
        <v>66</v>
      </c>
      <c r="G58" s="293" t="s">
        <v>316</v>
      </c>
      <c r="H58" s="293" t="str">
        <f>IFERROR(VLOOKUP(G58,'Cadastro de assessores'!A:B,2,FALSE),"Não Cadastrado")</f>
        <v>18009</v>
      </c>
      <c r="I58" s="293"/>
      <c r="J58" s="24" t="s">
        <v>3796</v>
      </c>
      <c r="K58" s="293" t="s">
        <v>134</v>
      </c>
      <c r="L58" s="416">
        <v>44519</v>
      </c>
      <c r="M58" s="416">
        <v>44522</v>
      </c>
      <c r="N58" s="299"/>
      <c r="O58" s="299" t="s">
        <v>3813</v>
      </c>
      <c r="P58" s="388">
        <v>1.2E-2</v>
      </c>
      <c r="Q58" s="311" t="s">
        <v>921</v>
      </c>
      <c r="R58" s="417"/>
      <c r="S58" s="292" t="str">
        <f t="shared" si="7"/>
        <v>Não Qualificado</v>
      </c>
      <c r="T58" s="292" t="s">
        <v>127</v>
      </c>
      <c r="U58" s="292" t="s">
        <v>3941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3793</v>
      </c>
      <c r="B59" s="104" t="s">
        <v>3997</v>
      </c>
      <c r="C59" s="122" t="s">
        <v>3998</v>
      </c>
      <c r="D59" s="292">
        <v>3774100</v>
      </c>
      <c r="E59" s="293" t="s">
        <v>2931</v>
      </c>
      <c r="F59" s="293" t="s">
        <v>20</v>
      </c>
      <c r="G59" s="293" t="s">
        <v>2931</v>
      </c>
      <c r="H59" s="293" t="str">
        <f>IFERROR(VLOOKUP(G59,'Cadastro de assessores'!A:B,2,FALSE),"Não Cadastrado")</f>
        <v>18986</v>
      </c>
      <c r="I59" s="293"/>
      <c r="J59" s="24" t="s">
        <v>3796</v>
      </c>
      <c r="K59" s="292" t="s">
        <v>145</v>
      </c>
      <c r="L59" s="415">
        <v>43818</v>
      </c>
      <c r="M59" s="415">
        <v>43847</v>
      </c>
      <c r="N59" s="292"/>
      <c r="O59" s="292" t="s">
        <v>3803</v>
      </c>
      <c r="P59" s="388">
        <v>1.4999999999999999E-2</v>
      </c>
      <c r="Q59" s="420"/>
      <c r="R59" s="417"/>
      <c r="S59" s="292" t="str">
        <f t="shared" si="7"/>
        <v/>
      </c>
      <c r="T59" s="292" t="s">
        <v>127</v>
      </c>
      <c r="U59" s="292" t="s">
        <v>3999</v>
      </c>
      <c r="V59" s="292" t="s">
        <v>20</v>
      </c>
      <c r="W59" s="418" t="s">
        <v>3806</v>
      </c>
      <c r="X59" s="418" t="s">
        <v>3806</v>
      </c>
      <c r="Y59" s="418" t="s">
        <v>3806</v>
      </c>
      <c r="Z59" s="418" t="s">
        <v>4000</v>
      </c>
      <c r="AA59" s="418" t="s">
        <v>4001</v>
      </c>
      <c r="AB59" s="418" t="s">
        <v>4002</v>
      </c>
      <c r="AC59" s="418" t="s">
        <v>4003</v>
      </c>
      <c r="AD59" s="418" t="s">
        <v>4004</v>
      </c>
      <c r="AE59" s="418" t="s">
        <v>4005</v>
      </c>
      <c r="AF59" s="418" t="s">
        <v>4006</v>
      </c>
      <c r="AG59" s="418" t="s">
        <v>4007</v>
      </c>
      <c r="AH59" s="418" t="s">
        <v>4008</v>
      </c>
      <c r="AI59" s="418" t="s">
        <v>4009</v>
      </c>
      <c r="AJ59" s="418" t="s">
        <v>4010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2940</v>
      </c>
      <c r="BE59" s="339" t="s">
        <v>2940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3793</v>
      </c>
      <c r="B60" s="104" t="s">
        <v>4011</v>
      </c>
      <c r="C60" s="390" t="s">
        <v>4012</v>
      </c>
      <c r="D60" s="299">
        <v>2588890</v>
      </c>
      <c r="E60" s="292" t="s">
        <v>2931</v>
      </c>
      <c r="F60" s="292" t="s">
        <v>20</v>
      </c>
      <c r="G60" s="292" t="s">
        <v>2931</v>
      </c>
      <c r="H60" s="292" t="str">
        <f>IFERROR(VLOOKUP(G60,'Cadastro de assessores'!A:B,2,FALSE),"Não Cadastrado")</f>
        <v>18986</v>
      </c>
      <c r="I60" s="292"/>
      <c r="J60" s="24" t="s">
        <v>125</v>
      </c>
      <c r="K60" s="292" t="s">
        <v>3802</v>
      </c>
      <c r="L60" s="387">
        <v>44390</v>
      </c>
      <c r="M60" s="387">
        <v>44390</v>
      </c>
      <c r="N60" s="419">
        <v>44524</v>
      </c>
      <c r="O60" s="292" t="s">
        <v>3803</v>
      </c>
      <c r="P60" s="388">
        <v>1.4999999999999999E-2</v>
      </c>
      <c r="Q60" s="420" t="s">
        <v>4013</v>
      </c>
      <c r="R60" s="417"/>
      <c r="S60" s="292" t="str">
        <f t="shared" si="7"/>
        <v>Não Qualificado</v>
      </c>
      <c r="T60" s="292" t="s">
        <v>127</v>
      </c>
      <c r="U60" s="299" t="s">
        <v>4014</v>
      </c>
      <c r="V60" s="299" t="s">
        <v>4015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2940</v>
      </c>
      <c r="BE60" s="339" t="s">
        <v>2940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3793</v>
      </c>
      <c r="B61" s="104" t="s">
        <v>4016</v>
      </c>
      <c r="C61" s="390" t="s">
        <v>4017</v>
      </c>
      <c r="D61" s="299">
        <v>4742962</v>
      </c>
      <c r="E61" s="292" t="s">
        <v>19</v>
      </c>
      <c r="F61" s="292" t="s">
        <v>66</v>
      </c>
      <c r="G61" s="292" t="s">
        <v>316</v>
      </c>
      <c r="H61" s="292" t="str">
        <f>IFERROR(VLOOKUP(G61,'Cadastro de assessores'!A:B,2,FALSE),"Não Cadastrado")</f>
        <v>18009</v>
      </c>
      <c r="I61" s="292"/>
      <c r="J61" s="24" t="s">
        <v>125</v>
      </c>
      <c r="K61" s="292" t="s">
        <v>3802</v>
      </c>
      <c r="L61" s="387">
        <v>44204</v>
      </c>
      <c r="M61" s="387">
        <v>44204</v>
      </c>
      <c r="N61" s="387">
        <v>44657</v>
      </c>
      <c r="O61" s="292" t="s">
        <v>4018</v>
      </c>
      <c r="P61" s="388">
        <v>0.02</v>
      </c>
      <c r="Q61" s="420" t="s">
        <v>3994</v>
      </c>
      <c r="R61" s="417"/>
      <c r="S61" s="292" t="str">
        <f t="shared" si="7"/>
        <v>Não Qualificado</v>
      </c>
      <c r="T61" s="292" t="s">
        <v>127</v>
      </c>
      <c r="U61" s="292" t="s">
        <v>3854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2940</v>
      </c>
      <c r="BE61" s="339" t="s">
        <v>2940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3793</v>
      </c>
      <c r="B62" s="104" t="s">
        <v>4016</v>
      </c>
      <c r="C62" s="390" t="s">
        <v>4017</v>
      </c>
      <c r="D62" s="299">
        <v>3556718</v>
      </c>
      <c r="E62" s="292" t="s">
        <v>19</v>
      </c>
      <c r="F62" s="292" t="s">
        <v>66</v>
      </c>
      <c r="G62" s="292" t="s">
        <v>316</v>
      </c>
      <c r="H62" s="292" t="str">
        <f>IFERROR(VLOOKUP(G62,'Cadastro de assessores'!A:B,2,FALSE),"Não Cadastrado")</f>
        <v>18009</v>
      </c>
      <c r="I62" s="292"/>
      <c r="J62" s="24" t="s">
        <v>125</v>
      </c>
      <c r="K62" s="292" t="s">
        <v>3802</v>
      </c>
      <c r="L62" s="387">
        <v>44426</v>
      </c>
      <c r="M62" s="387">
        <v>44426</v>
      </c>
      <c r="N62" s="387">
        <v>44657</v>
      </c>
      <c r="O62" s="292" t="s">
        <v>4019</v>
      </c>
      <c r="P62" s="388">
        <v>8.0000000000000002E-3</v>
      </c>
      <c r="Q62" s="420" t="s">
        <v>3994</v>
      </c>
      <c r="R62" s="417"/>
      <c r="S62" s="292" t="str">
        <f t="shared" si="7"/>
        <v>Não Qualificado</v>
      </c>
      <c r="T62" s="292" t="s">
        <v>127</v>
      </c>
      <c r="U62" s="292" t="s">
        <v>3854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2940</v>
      </c>
      <c r="BE62" s="339" t="s">
        <v>2940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3793</v>
      </c>
      <c r="B63" s="104" t="s">
        <v>552</v>
      </c>
      <c r="C63" s="86" t="s">
        <v>549</v>
      </c>
      <c r="D63" s="299">
        <v>43315</v>
      </c>
      <c r="E63" s="293" t="s">
        <v>19</v>
      </c>
      <c r="F63" s="293" t="s">
        <v>35</v>
      </c>
      <c r="G63" s="293" t="s">
        <v>250</v>
      </c>
      <c r="H63" s="426" t="str">
        <f>IFERROR(VLOOKUP(G63,'Cadastro de assessores'!A:B,2,FALSE),"Não Cadastrado")</f>
        <v>28411</v>
      </c>
      <c r="I63" s="426"/>
      <c r="J63" s="24" t="s">
        <v>3796</v>
      </c>
      <c r="K63" s="293" t="s">
        <v>134</v>
      </c>
      <c r="L63" s="415">
        <v>44564</v>
      </c>
      <c r="M63" s="415">
        <v>44586</v>
      </c>
      <c r="N63" s="299"/>
      <c r="O63" s="299" t="s">
        <v>3810</v>
      </c>
      <c r="P63" s="388">
        <v>1.2E-2</v>
      </c>
      <c r="Q63" s="420" t="s">
        <v>4020</v>
      </c>
      <c r="R63" s="417"/>
      <c r="S63" s="292" t="str">
        <f t="shared" si="7"/>
        <v/>
      </c>
      <c r="T63" s="292" t="s">
        <v>127</v>
      </c>
      <c r="U63" s="292" t="s">
        <v>4021</v>
      </c>
      <c r="V63" s="292" t="s">
        <v>202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3793</v>
      </c>
      <c r="B64" s="104" t="s">
        <v>4022</v>
      </c>
      <c r="C64" s="390" t="s">
        <v>4023</v>
      </c>
      <c r="D64" s="299">
        <v>3500160</v>
      </c>
      <c r="E64" s="293" t="s">
        <v>46</v>
      </c>
      <c r="F64" s="293" t="s">
        <v>20</v>
      </c>
      <c r="G64" s="299" t="s">
        <v>3855</v>
      </c>
      <c r="H64" s="426" t="str">
        <f>IFERROR(VLOOKUP(G64,'Cadastro de assessores'!A:B,2,FALSE),"Não Cadastrado")</f>
        <v>12624</v>
      </c>
      <c r="I64" s="426"/>
      <c r="J64" s="24" t="s">
        <v>125</v>
      </c>
      <c r="K64" s="293" t="s">
        <v>134</v>
      </c>
      <c r="L64" s="423">
        <v>44679</v>
      </c>
      <c r="M64" s="423">
        <v>44680</v>
      </c>
      <c r="N64" s="299"/>
      <c r="O64" s="299" t="s">
        <v>4024</v>
      </c>
      <c r="P64" s="388">
        <v>0.01</v>
      </c>
      <c r="Q64" s="420"/>
      <c r="R64" s="417"/>
      <c r="S64" s="292" t="str">
        <f t="shared" si="7"/>
        <v>Não Qualificado</v>
      </c>
      <c r="T64" s="292" t="s">
        <v>127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3793</v>
      </c>
      <c r="B65" s="104" t="s">
        <v>4025</v>
      </c>
      <c r="C65" s="390" t="s">
        <v>4026</v>
      </c>
      <c r="D65" s="299">
        <v>4452023</v>
      </c>
      <c r="E65" s="293" t="s">
        <v>19</v>
      </c>
      <c r="F65" s="293" t="s">
        <v>20</v>
      </c>
      <c r="G65" s="293" t="s">
        <v>3166</v>
      </c>
      <c r="H65" s="293" t="str">
        <f>IFERROR(VLOOKUP(G65,'Cadastro de assessores'!A:B,2,FALSE),"Não Cadastrado")</f>
        <v>13444</v>
      </c>
      <c r="I65" s="293"/>
      <c r="J65" s="24" t="s">
        <v>134</v>
      </c>
      <c r="K65" s="293" t="s">
        <v>134</v>
      </c>
      <c r="L65" s="415">
        <v>44372</v>
      </c>
      <c r="M65" s="415">
        <v>44372</v>
      </c>
      <c r="N65" s="299"/>
      <c r="O65" s="299" t="s">
        <v>4027</v>
      </c>
      <c r="P65" s="388">
        <v>0.02</v>
      </c>
      <c r="Q65" s="420"/>
      <c r="R65" s="417"/>
      <c r="S65" s="292" t="str">
        <f t="shared" si="7"/>
        <v/>
      </c>
      <c r="T65" s="299" t="s">
        <v>127</v>
      </c>
      <c r="U65" s="292" t="s">
        <v>4028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3793</v>
      </c>
      <c r="B66" s="104" t="s">
        <v>4029</v>
      </c>
      <c r="C66" s="122" t="s">
        <v>4030</v>
      </c>
      <c r="D66" s="292">
        <v>4765516</v>
      </c>
      <c r="E66" s="292" t="s">
        <v>46</v>
      </c>
      <c r="F66" s="292" t="s">
        <v>20</v>
      </c>
      <c r="G66" s="292" t="s">
        <v>3640</v>
      </c>
      <c r="H66" s="292" t="str">
        <f>IFERROR(VLOOKUP(G66,'Cadastro de assessores'!A:B,2,FALSE),"Não Cadastrado")</f>
        <v>14574</v>
      </c>
      <c r="I66" s="292"/>
      <c r="J66" s="24" t="s">
        <v>125</v>
      </c>
      <c r="K66" s="292" t="s">
        <v>3802</v>
      </c>
      <c r="L66" s="387">
        <v>44228</v>
      </c>
      <c r="M66" s="387">
        <v>44228</v>
      </c>
      <c r="N66" s="387">
        <v>44418</v>
      </c>
      <c r="O66" s="292" t="s">
        <v>3797</v>
      </c>
      <c r="P66" s="388">
        <v>0.02</v>
      </c>
      <c r="Q66" s="420" t="s">
        <v>4031</v>
      </c>
      <c r="R66" s="417"/>
      <c r="S66" s="292" t="str">
        <f t="shared" si="7"/>
        <v>Não Qualificado</v>
      </c>
      <c r="T66" s="292" t="s">
        <v>127</v>
      </c>
      <c r="U66" s="292" t="s">
        <v>3819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2940</v>
      </c>
      <c r="BE66" s="339" t="s">
        <v>2940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3793</v>
      </c>
      <c r="B67" s="104" t="s">
        <v>4032</v>
      </c>
      <c r="C67" s="390" t="s">
        <v>4033</v>
      </c>
      <c r="D67" s="432">
        <v>7119368</v>
      </c>
      <c r="E67" s="292" t="s">
        <v>19</v>
      </c>
      <c r="F67" s="292" t="s">
        <v>66</v>
      </c>
      <c r="G67" s="299" t="s">
        <v>67</v>
      </c>
      <c r="H67" s="292" t="str">
        <f>IFERROR(VLOOKUP(G67,'Cadastro de assessores'!A:B,2,FALSE),"Não Cadastrado")</f>
        <v>18890</v>
      </c>
      <c r="I67" s="292"/>
      <c r="J67" s="24" t="s">
        <v>125</v>
      </c>
      <c r="K67" s="292" t="s">
        <v>3802</v>
      </c>
      <c r="L67" s="419">
        <v>44523</v>
      </c>
      <c r="M67" s="419">
        <v>44523</v>
      </c>
      <c r="N67" s="391">
        <v>44700</v>
      </c>
      <c r="O67" s="299" t="s">
        <v>3810</v>
      </c>
      <c r="P67" s="388">
        <v>7.0000000000000001E-3</v>
      </c>
      <c r="Q67" s="167" t="s">
        <v>3978</v>
      </c>
      <c r="R67" s="417"/>
      <c r="S67" s="292" t="str">
        <f t="shared" si="7"/>
        <v>Não Qualificado</v>
      </c>
      <c r="T67" s="292" t="s">
        <v>127</v>
      </c>
      <c r="U67" s="292" t="s">
        <v>3975</v>
      </c>
      <c r="V67" s="292" t="s">
        <v>66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2940</v>
      </c>
      <c r="BE67" s="339" t="s">
        <v>2940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3793</v>
      </c>
      <c r="B68" s="104" t="s">
        <v>4032</v>
      </c>
      <c r="C68" s="390" t="s">
        <v>4033</v>
      </c>
      <c r="D68" s="299">
        <v>7207902</v>
      </c>
      <c r="E68" s="292" t="s">
        <v>19</v>
      </c>
      <c r="F68" s="292" t="s">
        <v>66</v>
      </c>
      <c r="G68" s="299" t="s">
        <v>67</v>
      </c>
      <c r="H68" s="292" t="str">
        <f>IFERROR(VLOOKUP(G68,'Cadastro de assessores'!A:B,2,FALSE),"Não Cadastrado")</f>
        <v>18890</v>
      </c>
      <c r="I68" s="292"/>
      <c r="J68" s="24" t="s">
        <v>125</v>
      </c>
      <c r="K68" s="292" t="s">
        <v>3802</v>
      </c>
      <c r="L68" s="419">
        <v>44523</v>
      </c>
      <c r="M68" s="419">
        <v>44523</v>
      </c>
      <c r="N68" s="391">
        <v>44700</v>
      </c>
      <c r="O68" s="299" t="s">
        <v>3810</v>
      </c>
      <c r="P68" s="388">
        <v>7.0000000000000001E-3</v>
      </c>
      <c r="Q68" s="167" t="s">
        <v>3978</v>
      </c>
      <c r="R68" s="417"/>
      <c r="S68" s="292" t="str">
        <f t="shared" si="7"/>
        <v>Não Qualificado</v>
      </c>
      <c r="T68" s="292" t="s">
        <v>127</v>
      </c>
      <c r="U68" s="292" t="s">
        <v>3975</v>
      </c>
      <c r="V68" s="292" t="s">
        <v>66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2940</v>
      </c>
      <c r="BE68" s="339" t="s">
        <v>2940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3793</v>
      </c>
      <c r="B69" s="104" t="s">
        <v>568</v>
      </c>
      <c r="C69" s="433" t="s">
        <v>4034</v>
      </c>
      <c r="D69" s="434">
        <v>3286506</v>
      </c>
      <c r="E69" s="292" t="s">
        <v>19</v>
      </c>
      <c r="F69" s="292" t="s">
        <v>20</v>
      </c>
      <c r="G69" s="292" t="s">
        <v>360</v>
      </c>
      <c r="H69" s="292"/>
      <c r="I69" s="292"/>
      <c r="J69" s="24" t="s">
        <v>3796</v>
      </c>
      <c r="K69" s="292"/>
      <c r="L69" s="419"/>
      <c r="M69" s="419">
        <v>44932</v>
      </c>
      <c r="N69" s="387"/>
      <c r="O69" s="292" t="s">
        <v>3803</v>
      </c>
      <c r="P69" s="388">
        <v>0.01</v>
      </c>
      <c r="Q69" s="435" t="s">
        <v>4035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3793</v>
      </c>
      <c r="B70" s="104" t="s">
        <v>571</v>
      </c>
      <c r="C70" s="122" t="s">
        <v>4036</v>
      </c>
      <c r="D70" s="104">
        <v>3360893</v>
      </c>
      <c r="E70" s="293" t="s">
        <v>19</v>
      </c>
      <c r="F70" s="293" t="s">
        <v>66</v>
      </c>
      <c r="G70" s="293" t="s">
        <v>144</v>
      </c>
      <c r="H70" s="293">
        <f>IFERROR(VLOOKUP(G70,'Cadastro de assessores'!A:B,2,FALSE),"Não Cadastrado")</f>
        <v>12331</v>
      </c>
      <c r="I70" s="293"/>
      <c r="J70" s="24" t="s">
        <v>3796</v>
      </c>
      <c r="K70" s="293" t="s">
        <v>134</v>
      </c>
      <c r="L70" s="415">
        <v>44733</v>
      </c>
      <c r="M70" s="415">
        <v>44759</v>
      </c>
      <c r="N70" s="292"/>
      <c r="O70" s="292" t="s">
        <v>3810</v>
      </c>
      <c r="P70" s="388">
        <v>7.0000000000000001E-3</v>
      </c>
      <c r="Q70" s="420"/>
      <c r="R70" s="417"/>
      <c r="S70" s="292"/>
      <c r="T70" s="292" t="s">
        <v>127</v>
      </c>
      <c r="U70" s="292" t="s">
        <v>3849</v>
      </c>
      <c r="V70" s="292" t="s">
        <v>66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3793</v>
      </c>
      <c r="B71" s="104" t="s">
        <v>4037</v>
      </c>
      <c r="C71" s="122" t="s">
        <v>4038</v>
      </c>
      <c r="D71" s="306">
        <v>4618682</v>
      </c>
      <c r="E71" s="292" t="s">
        <v>46</v>
      </c>
      <c r="F71" s="292" t="s">
        <v>20</v>
      </c>
      <c r="G71" s="292" t="s">
        <v>3640</v>
      </c>
      <c r="H71" s="292" t="str">
        <f>IFERROR(VLOOKUP(G71,'Cadastro de assessores'!A:B,2,FALSE),"Não Cadastrado")</f>
        <v>14574</v>
      </c>
      <c r="I71" s="292"/>
      <c r="J71" s="24" t="s">
        <v>125</v>
      </c>
      <c r="K71" s="292" t="s">
        <v>3802</v>
      </c>
      <c r="L71" s="419">
        <v>44160</v>
      </c>
      <c r="M71" s="419">
        <v>44160</v>
      </c>
      <c r="N71" s="387">
        <v>44806</v>
      </c>
      <c r="O71" s="292" t="s">
        <v>3803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127</v>
      </c>
      <c r="U71" s="292" t="s">
        <v>3831</v>
      </c>
      <c r="V71" s="292" t="s">
        <v>20</v>
      </c>
      <c r="W71" s="418" t="s">
        <v>3806</v>
      </c>
      <c r="X71" s="418" t="s">
        <v>3806</v>
      </c>
      <c r="Y71" s="418" t="s">
        <v>3806</v>
      </c>
      <c r="Z71" s="418" t="s">
        <v>3806</v>
      </c>
      <c r="AA71" s="418" t="s">
        <v>3806</v>
      </c>
      <c r="AB71" s="418" t="s">
        <v>3806</v>
      </c>
      <c r="AC71" s="418" t="s">
        <v>3806</v>
      </c>
      <c r="AD71" s="418" t="s">
        <v>3806</v>
      </c>
      <c r="AE71" s="418" t="s">
        <v>3806</v>
      </c>
      <c r="AF71" s="418" t="s">
        <v>3806</v>
      </c>
      <c r="AG71" s="418" t="s">
        <v>3806</v>
      </c>
      <c r="AH71" s="418" t="s">
        <v>3806</v>
      </c>
      <c r="AI71" s="418" t="s">
        <v>3806</v>
      </c>
      <c r="AJ71" s="418" t="s">
        <v>4039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3793</v>
      </c>
      <c r="B72" s="104" t="s">
        <v>4040</v>
      </c>
      <c r="C72" s="122" t="s">
        <v>4041</v>
      </c>
      <c r="D72" s="293">
        <v>4805165</v>
      </c>
      <c r="E72" s="293" t="s">
        <v>2931</v>
      </c>
      <c r="F72" s="293" t="s">
        <v>20</v>
      </c>
      <c r="G72" s="293" t="s">
        <v>2931</v>
      </c>
      <c r="H72" s="293" t="str">
        <f>IFERROR(VLOOKUP(G72,'Cadastro de assessores'!A:B,2,FALSE),"Não Cadastrado")</f>
        <v>18986</v>
      </c>
      <c r="I72" s="293"/>
      <c r="J72" s="24" t="s">
        <v>134</v>
      </c>
      <c r="K72" s="293" t="s">
        <v>134</v>
      </c>
      <c r="L72" s="415">
        <v>44235</v>
      </c>
      <c r="M72" s="415">
        <v>44235</v>
      </c>
      <c r="N72" s="292"/>
      <c r="O72" s="292" t="s">
        <v>3803</v>
      </c>
      <c r="P72" s="388">
        <v>1.4999999999999999E-2</v>
      </c>
      <c r="Q72" s="420" t="s">
        <v>921</v>
      </c>
      <c r="R72" s="417" t="s">
        <v>4042</v>
      </c>
      <c r="S72" s="292" t="str">
        <f t="shared" si="8"/>
        <v/>
      </c>
      <c r="T72" s="292" t="s">
        <v>127</v>
      </c>
      <c r="U72" s="292" t="s">
        <v>3805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3793</v>
      </c>
      <c r="B73" s="104" t="s">
        <v>581</v>
      </c>
      <c r="C73" s="390" t="s">
        <v>4043</v>
      </c>
      <c r="D73" s="293">
        <v>6480340</v>
      </c>
      <c r="E73" s="293" t="s">
        <v>19</v>
      </c>
      <c r="F73" s="293" t="s">
        <v>66</v>
      </c>
      <c r="G73" s="426" t="s">
        <v>316</v>
      </c>
      <c r="H73" s="426" t="str">
        <f>IFERROR(VLOOKUP(G73,'Cadastro de assessores'!A:B,2,FALSE),"Não Cadastrado")</f>
        <v>18009</v>
      </c>
      <c r="I73" s="426"/>
      <c r="J73" s="24" t="s">
        <v>3796</v>
      </c>
      <c r="K73" s="293" t="s">
        <v>134</v>
      </c>
      <c r="L73" s="415">
        <v>44439</v>
      </c>
      <c r="M73" s="415">
        <v>44447</v>
      </c>
      <c r="N73" s="426"/>
      <c r="O73" s="426" t="s">
        <v>3813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127</v>
      </c>
      <c r="U73" s="292" t="s">
        <v>3975</v>
      </c>
      <c r="V73" s="299" t="s">
        <v>66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3793</v>
      </c>
      <c r="B74" s="104" t="s">
        <v>3050</v>
      </c>
      <c r="C74" s="122" t="s">
        <v>3048</v>
      </c>
      <c r="D74" s="292">
        <v>260123</v>
      </c>
      <c r="E74" s="293" t="s">
        <v>2997</v>
      </c>
      <c r="F74" s="293" t="s">
        <v>20</v>
      </c>
      <c r="G74" s="293" t="s">
        <v>2997</v>
      </c>
      <c r="H74" s="293" t="str">
        <f>IFERROR(VLOOKUP(G74,'Cadastro de assessores'!A:B,2,FALSE),"Não Cadastrado")</f>
        <v>22400</v>
      </c>
      <c r="I74" s="293"/>
      <c r="J74" s="24" t="s">
        <v>3796</v>
      </c>
      <c r="K74" s="292" t="s">
        <v>145</v>
      </c>
      <c r="L74" s="292" t="s">
        <v>3154</v>
      </c>
      <c r="M74" s="436" t="s">
        <v>3644</v>
      </c>
      <c r="N74" s="292"/>
      <c r="O74" s="292" t="s">
        <v>4027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127</v>
      </c>
      <c r="U74" s="292" t="s">
        <v>3805</v>
      </c>
      <c r="V74" s="292" t="s">
        <v>20</v>
      </c>
      <c r="W74" s="418" t="s">
        <v>3806</v>
      </c>
      <c r="X74" s="418" t="s">
        <v>3806</v>
      </c>
      <c r="Y74" s="418" t="s">
        <v>3806</v>
      </c>
      <c r="Z74" s="418" t="s">
        <v>3806</v>
      </c>
      <c r="AA74" s="418" t="s">
        <v>3806</v>
      </c>
      <c r="AB74" s="418" t="s">
        <v>3806</v>
      </c>
      <c r="AC74" s="418" t="s">
        <v>3806</v>
      </c>
      <c r="AD74" s="418" t="s">
        <v>3806</v>
      </c>
      <c r="AE74" s="418" t="s">
        <v>3806</v>
      </c>
      <c r="AF74" s="418" t="s">
        <v>3806</v>
      </c>
      <c r="AG74" s="418" t="s">
        <v>3806</v>
      </c>
      <c r="AH74" s="418"/>
      <c r="AI74" s="418" t="s">
        <v>3806</v>
      </c>
      <c r="AJ74" s="418" t="s">
        <v>3806</v>
      </c>
      <c r="AK74" s="339" t="s">
        <v>3154</v>
      </c>
      <c r="AL74" s="339"/>
      <c r="AM74" s="339" t="s">
        <v>3154</v>
      </c>
      <c r="AN74" s="339" t="s">
        <v>3154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2940</v>
      </c>
      <c r="BE74" s="339" t="s">
        <v>2940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3793</v>
      </c>
      <c r="B75" s="104" t="s">
        <v>4044</v>
      </c>
      <c r="C75" s="122" t="s">
        <v>4045</v>
      </c>
      <c r="D75" s="292">
        <v>4522420</v>
      </c>
      <c r="E75" s="292" t="s">
        <v>19</v>
      </c>
      <c r="F75" s="292" t="s">
        <v>20</v>
      </c>
      <c r="G75" s="292" t="s">
        <v>3801</v>
      </c>
      <c r="H75" s="292" t="str">
        <f>IFERROR(VLOOKUP(G75,'Cadastro de assessores'!A:B,2,FALSE),"Não Cadastrado")</f>
        <v>17679</v>
      </c>
      <c r="I75" s="292"/>
      <c r="J75" s="24" t="s">
        <v>125</v>
      </c>
      <c r="K75" s="292" t="s">
        <v>3802</v>
      </c>
      <c r="L75" s="387">
        <v>44141</v>
      </c>
      <c r="M75" s="387">
        <v>44141</v>
      </c>
      <c r="N75" s="387">
        <v>44412</v>
      </c>
      <c r="O75" s="292" t="s">
        <v>3803</v>
      </c>
      <c r="P75" s="388">
        <v>1.4999999999999999E-2</v>
      </c>
      <c r="Q75" s="420" t="s">
        <v>4046</v>
      </c>
      <c r="R75" s="417"/>
      <c r="S75" s="292" t="str">
        <f t="shared" si="8"/>
        <v>Não Qualificado</v>
      </c>
      <c r="T75" s="292" t="s">
        <v>127</v>
      </c>
      <c r="U75" s="292" t="s">
        <v>4047</v>
      </c>
      <c r="V75" s="292" t="s">
        <v>575</v>
      </c>
      <c r="W75" s="418" t="s">
        <v>3806</v>
      </c>
      <c r="X75" s="418" t="s">
        <v>3806</v>
      </c>
      <c r="Y75" s="418" t="s">
        <v>3806</v>
      </c>
      <c r="Z75" s="418" t="s">
        <v>3806</v>
      </c>
      <c r="AA75" s="418" t="s">
        <v>3806</v>
      </c>
      <c r="AB75" s="418" t="s">
        <v>3806</v>
      </c>
      <c r="AC75" s="418" t="s">
        <v>3806</v>
      </c>
      <c r="AD75" s="418" t="s">
        <v>3806</v>
      </c>
      <c r="AE75" s="418" t="s">
        <v>3806</v>
      </c>
      <c r="AF75" s="418" t="s">
        <v>3806</v>
      </c>
      <c r="AG75" s="418" t="s">
        <v>3806</v>
      </c>
      <c r="AH75" s="418" t="s">
        <v>3806</v>
      </c>
      <c r="AI75" s="418" t="s">
        <v>3806</v>
      </c>
      <c r="AJ75" s="418" t="s">
        <v>4048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2940</v>
      </c>
      <c r="BE75" s="339" t="s">
        <v>2940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3793</v>
      </c>
      <c r="B76" s="104" t="s">
        <v>4049</v>
      </c>
      <c r="C76" s="390" t="s">
        <v>4050</v>
      </c>
      <c r="D76" s="299">
        <v>6592638</v>
      </c>
      <c r="E76" s="293" t="s">
        <v>19</v>
      </c>
      <c r="F76" s="293" t="s">
        <v>66</v>
      </c>
      <c r="G76" s="293" t="s">
        <v>316</v>
      </c>
      <c r="H76" s="293" t="str">
        <f>IFERROR(VLOOKUP(G76,'Cadastro de assessores'!A:B,2,FALSE),"Não Cadastrado")</f>
        <v>18009</v>
      </c>
      <c r="I76" s="293"/>
      <c r="J76" s="24" t="s">
        <v>134</v>
      </c>
      <c r="K76" s="293" t="s">
        <v>134</v>
      </c>
      <c r="L76" s="415">
        <v>44456</v>
      </c>
      <c r="M76" s="415">
        <v>44461</v>
      </c>
      <c r="N76" s="299"/>
      <c r="O76" s="299" t="s">
        <v>3803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127</v>
      </c>
      <c r="U76" s="292" t="s">
        <v>3854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3793</v>
      </c>
      <c r="B77" s="104" t="s">
        <v>4051</v>
      </c>
      <c r="C77" s="122" t="s">
        <v>4052</v>
      </c>
      <c r="D77" s="292">
        <v>4572882</v>
      </c>
      <c r="E77" s="292" t="s">
        <v>46</v>
      </c>
      <c r="F77" s="292" t="s">
        <v>20</v>
      </c>
      <c r="G77" s="292" t="s">
        <v>3640</v>
      </c>
      <c r="H77" s="292" t="str">
        <f>IFERROR(VLOOKUP(G77,'Cadastro de assessores'!A:B,2,FALSE),"Não Cadastrado")</f>
        <v>14574</v>
      </c>
      <c r="I77" s="292"/>
      <c r="J77" s="24" t="s">
        <v>125</v>
      </c>
      <c r="K77" s="292" t="s">
        <v>3802</v>
      </c>
      <c r="L77" s="419">
        <v>44165</v>
      </c>
      <c r="M77" s="419">
        <v>44165</v>
      </c>
      <c r="N77" s="387">
        <v>44295</v>
      </c>
      <c r="O77" s="292" t="s">
        <v>3803</v>
      </c>
      <c r="P77" s="388">
        <v>1.4999999999999999E-2</v>
      </c>
      <c r="Q77" s="420" t="s">
        <v>4053</v>
      </c>
      <c r="R77" s="417"/>
      <c r="S77" s="292" t="str">
        <f t="shared" si="8"/>
        <v/>
      </c>
      <c r="T77" s="292" t="s">
        <v>127</v>
      </c>
      <c r="U77" s="292" t="s">
        <v>3937</v>
      </c>
      <c r="V77" s="292" t="s">
        <v>20</v>
      </c>
      <c r="W77" s="418" t="s">
        <v>3806</v>
      </c>
      <c r="X77" s="418" t="s">
        <v>3806</v>
      </c>
      <c r="Y77" s="418" t="s">
        <v>3806</v>
      </c>
      <c r="Z77" s="418" t="s">
        <v>3806</v>
      </c>
      <c r="AA77" s="418" t="s">
        <v>3806</v>
      </c>
      <c r="AB77" s="418" t="s">
        <v>3806</v>
      </c>
      <c r="AC77" s="418" t="s">
        <v>3806</v>
      </c>
      <c r="AD77" s="418" t="s">
        <v>3806</v>
      </c>
      <c r="AE77" s="418" t="s">
        <v>3806</v>
      </c>
      <c r="AF77" s="418" t="s">
        <v>3806</v>
      </c>
      <c r="AG77" s="418" t="s">
        <v>3806</v>
      </c>
      <c r="AH77" s="418" t="s">
        <v>3806</v>
      </c>
      <c r="AI77" s="418" t="s">
        <v>3806</v>
      </c>
      <c r="AJ77" s="418" t="s">
        <v>4054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2940</v>
      </c>
      <c r="BE77" s="339" t="s">
        <v>2940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3793</v>
      </c>
      <c r="B78" s="104" t="s">
        <v>4055</v>
      </c>
      <c r="C78" s="437" t="s">
        <v>4056</v>
      </c>
      <c r="D78" s="438">
        <v>5956921</v>
      </c>
      <c r="E78" s="293" t="s">
        <v>19</v>
      </c>
      <c r="F78" s="293" t="s">
        <v>20</v>
      </c>
      <c r="G78" s="293" t="s">
        <v>2963</v>
      </c>
      <c r="H78" s="426" t="str">
        <f>IFERROR(VLOOKUP(G78,'Cadastro de assessores'!A:B,2,FALSE),"Não Cadastrado")</f>
        <v>18836</v>
      </c>
      <c r="I78" s="426"/>
      <c r="J78" s="24" t="s">
        <v>3796</v>
      </c>
      <c r="K78" s="293" t="s">
        <v>134</v>
      </c>
      <c r="L78" s="416">
        <v>44469</v>
      </c>
      <c r="M78" s="416">
        <v>44482</v>
      </c>
      <c r="N78" s="299"/>
      <c r="O78" s="299" t="s">
        <v>3803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127</v>
      </c>
      <c r="U78" s="292" t="s">
        <v>4057</v>
      </c>
      <c r="V78" s="292" t="s">
        <v>878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3793</v>
      </c>
      <c r="B79" s="104" t="s">
        <v>630</v>
      </c>
      <c r="C79" s="390" t="s">
        <v>4058</v>
      </c>
      <c r="D79" s="422">
        <v>6866947</v>
      </c>
      <c r="E79" s="293" t="s">
        <v>19</v>
      </c>
      <c r="F79" s="293" t="s">
        <v>66</v>
      </c>
      <c r="G79" s="293" t="s">
        <v>316</v>
      </c>
      <c r="H79" s="426" t="str">
        <f>IFERROR(VLOOKUP(G79,'Cadastro de assessores'!A:B,2,FALSE),"Não Cadastrado")</f>
        <v>18009</v>
      </c>
      <c r="I79" s="426"/>
      <c r="J79" s="24" t="s">
        <v>3796</v>
      </c>
      <c r="K79" s="293" t="s">
        <v>134</v>
      </c>
      <c r="L79" s="416">
        <v>44495</v>
      </c>
      <c r="M79" s="416">
        <v>44497</v>
      </c>
      <c r="N79" s="299"/>
      <c r="O79" s="299" t="s">
        <v>3813</v>
      </c>
      <c r="P79" s="388">
        <v>1.2E-2</v>
      </c>
      <c r="Q79" s="311" t="s">
        <v>4059</v>
      </c>
      <c r="R79" s="417"/>
      <c r="S79" s="292" t="str">
        <f t="shared" si="8"/>
        <v/>
      </c>
      <c r="T79" s="292" t="s">
        <v>127</v>
      </c>
      <c r="U79" s="292" t="s">
        <v>3941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3793</v>
      </c>
      <c r="B80" s="104" t="s">
        <v>634</v>
      </c>
      <c r="C80" s="390" t="s">
        <v>631</v>
      </c>
      <c r="D80" s="438">
        <v>3241823</v>
      </c>
      <c r="E80" s="293" t="s">
        <v>19</v>
      </c>
      <c r="F80" s="293" t="s">
        <v>20</v>
      </c>
      <c r="G80" s="293" t="s">
        <v>184</v>
      </c>
      <c r="H80" s="426">
        <f>IFERROR(VLOOKUP(G80,'Cadastro de assessores'!A:B,2,FALSE),"Não Cadastrado")</f>
        <v>12332</v>
      </c>
      <c r="I80" s="426"/>
      <c r="J80" s="24" t="s">
        <v>3796</v>
      </c>
      <c r="K80" s="439"/>
      <c r="L80" s="293" t="s">
        <v>145</v>
      </c>
      <c r="M80" s="416">
        <v>44819</v>
      </c>
      <c r="N80" s="299"/>
      <c r="O80" s="299" t="s">
        <v>3813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3793</v>
      </c>
      <c r="B81" s="104" t="s">
        <v>652</v>
      </c>
      <c r="C81" s="122" t="s">
        <v>4060</v>
      </c>
      <c r="D81" s="292">
        <v>3960153</v>
      </c>
      <c r="E81" s="292" t="s">
        <v>19</v>
      </c>
      <c r="F81" s="292" t="s">
        <v>20</v>
      </c>
      <c r="G81" s="292" t="s">
        <v>651</v>
      </c>
      <c r="H81" s="292"/>
      <c r="I81" s="292"/>
      <c r="J81" s="24" t="s">
        <v>3796</v>
      </c>
      <c r="K81" s="292"/>
      <c r="L81" s="419"/>
      <c r="M81" s="419"/>
      <c r="N81" s="387"/>
      <c r="O81" s="292" t="s">
        <v>3803</v>
      </c>
      <c r="P81" s="388">
        <v>1.2E-2</v>
      </c>
      <c r="Q81" s="440" t="s">
        <v>3886</v>
      </c>
      <c r="R81" s="417"/>
      <c r="S81" s="292"/>
      <c r="T81" s="292"/>
      <c r="U81" s="292"/>
      <c r="V81" s="292" t="s">
        <v>1496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3793</v>
      </c>
      <c r="B82" s="104" t="s">
        <v>4061</v>
      </c>
      <c r="C82" s="122" t="s">
        <v>4062</v>
      </c>
      <c r="D82" s="292">
        <v>3432427</v>
      </c>
      <c r="E82" s="292" t="s">
        <v>19</v>
      </c>
      <c r="F82" s="292" t="s">
        <v>66</v>
      </c>
      <c r="G82" s="292" t="s">
        <v>316</v>
      </c>
      <c r="H82" s="292" t="str">
        <f>IFERROR(VLOOKUP(G82,'Cadastro de assessores'!A:B,2,FALSE),"Não Cadastrado")</f>
        <v>18009</v>
      </c>
      <c r="I82" s="292"/>
      <c r="J82" s="24" t="s">
        <v>125</v>
      </c>
      <c r="K82" s="292" t="s">
        <v>3802</v>
      </c>
      <c r="L82" s="419">
        <v>44445</v>
      </c>
      <c r="M82" s="419">
        <v>44445</v>
      </c>
      <c r="N82" s="387">
        <v>44658</v>
      </c>
      <c r="O82" s="292" t="s">
        <v>4019</v>
      </c>
      <c r="P82" s="388">
        <v>8.0000000000000002E-3</v>
      </c>
      <c r="Q82" s="420" t="s">
        <v>4063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127</v>
      </c>
      <c r="U82" s="292" t="s">
        <v>3854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2940</v>
      </c>
      <c r="BE82" s="339" t="s">
        <v>2940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3793</v>
      </c>
      <c r="B83" s="104" t="s">
        <v>4064</v>
      </c>
      <c r="C83" s="122" t="s">
        <v>4065</v>
      </c>
      <c r="D83" s="292">
        <v>4478774</v>
      </c>
      <c r="E83" s="293" t="s">
        <v>46</v>
      </c>
      <c r="F83" s="293" t="s">
        <v>20</v>
      </c>
      <c r="G83" s="293" t="s">
        <v>4066</v>
      </c>
      <c r="H83" s="293" t="str">
        <f>IFERROR(VLOOKUP(G83,'Cadastro de assessores'!A:B,2,FALSE),"Não Cadastrado")</f>
        <v>19634</v>
      </c>
      <c r="I83" s="293"/>
      <c r="J83" s="24" t="s">
        <v>3796</v>
      </c>
      <c r="K83" s="293" t="s">
        <v>134</v>
      </c>
      <c r="L83" s="415">
        <v>44103</v>
      </c>
      <c r="M83" s="415">
        <v>44103</v>
      </c>
      <c r="N83" s="292"/>
      <c r="O83" s="292" t="s">
        <v>3813</v>
      </c>
      <c r="P83" s="388">
        <v>1.2E-2</v>
      </c>
      <c r="Q83" s="420" t="s">
        <v>921</v>
      </c>
      <c r="R83" s="417" t="s">
        <v>4042</v>
      </c>
      <c r="S83" s="292" t="str">
        <f t="shared" si="9"/>
        <v>Não Qualificado</v>
      </c>
      <c r="T83" s="292" t="s">
        <v>127</v>
      </c>
      <c r="U83" s="292" t="s">
        <v>3824</v>
      </c>
      <c r="V83" s="292" t="s">
        <v>20</v>
      </c>
      <c r="W83" s="418" t="s">
        <v>3806</v>
      </c>
      <c r="X83" s="418" t="s">
        <v>3806</v>
      </c>
      <c r="Y83" s="418" t="s">
        <v>3806</v>
      </c>
      <c r="Z83" s="418" t="s">
        <v>3806</v>
      </c>
      <c r="AA83" s="418" t="s">
        <v>3806</v>
      </c>
      <c r="AB83" s="418" t="s">
        <v>3806</v>
      </c>
      <c r="AC83" s="418" t="s">
        <v>3806</v>
      </c>
      <c r="AD83" s="418" t="s">
        <v>3806</v>
      </c>
      <c r="AE83" s="418" t="s">
        <v>3806</v>
      </c>
      <c r="AF83" s="418" t="s">
        <v>3806</v>
      </c>
      <c r="AG83" s="418" t="s">
        <v>3806</v>
      </c>
      <c r="AH83" s="418" t="s">
        <v>4067</v>
      </c>
      <c r="AI83" s="418" t="s">
        <v>4068</v>
      </c>
      <c r="AJ83" s="418" t="s">
        <v>4069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3793</v>
      </c>
      <c r="B84" s="104" t="s">
        <v>4070</v>
      </c>
      <c r="C84" s="390" t="s">
        <v>4071</v>
      </c>
      <c r="D84" s="299">
        <v>5692353</v>
      </c>
      <c r="E84" s="292" t="s">
        <v>19</v>
      </c>
      <c r="F84" s="292" t="s">
        <v>66</v>
      </c>
      <c r="G84" s="292" t="s">
        <v>316</v>
      </c>
      <c r="H84" s="292" t="str">
        <f>IFERROR(VLOOKUP(G84,'Cadastro de assessores'!A:B,2,FALSE),"Não Cadastrado")</f>
        <v>18009</v>
      </c>
      <c r="I84" s="292"/>
      <c r="J84" s="24" t="s">
        <v>125</v>
      </c>
      <c r="K84" s="292" t="s">
        <v>3802</v>
      </c>
      <c r="L84" s="387">
        <v>44466</v>
      </c>
      <c r="M84" s="387">
        <v>44466</v>
      </c>
      <c r="N84" s="391">
        <v>44740</v>
      </c>
      <c r="O84" s="299" t="s">
        <v>3817</v>
      </c>
      <c r="P84" s="388">
        <v>2.5000000000000001E-2</v>
      </c>
      <c r="Q84" s="167" t="s">
        <v>4072</v>
      </c>
      <c r="R84" s="417"/>
      <c r="S84" s="292" t="str">
        <f t="shared" si="9"/>
        <v>Não Qualificado</v>
      </c>
      <c r="T84" s="299" t="s">
        <v>127</v>
      </c>
      <c r="U84" s="299" t="s">
        <v>3854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3793</v>
      </c>
      <c r="B85" s="104" t="s">
        <v>4073</v>
      </c>
      <c r="C85" s="104" t="s">
        <v>4074</v>
      </c>
      <c r="D85" s="293">
        <v>4848604</v>
      </c>
      <c r="E85" s="293" t="s">
        <v>46</v>
      </c>
      <c r="F85" s="293" t="s">
        <v>20</v>
      </c>
      <c r="G85" s="293" t="s">
        <v>4075</v>
      </c>
      <c r="H85" s="293" t="str">
        <f>IFERROR(VLOOKUP(G85,'Cadastro de assessores'!A:B,2,FALSE),"Não Cadastrado")</f>
        <v>15049</v>
      </c>
      <c r="I85" s="293"/>
      <c r="J85" s="24" t="s">
        <v>3796</v>
      </c>
      <c r="K85" s="293" t="s">
        <v>134</v>
      </c>
      <c r="L85" s="415">
        <v>44236</v>
      </c>
      <c r="M85" s="415">
        <v>44236</v>
      </c>
      <c r="N85" s="292"/>
      <c r="O85" s="292" t="s">
        <v>3813</v>
      </c>
      <c r="P85" s="388">
        <v>1.2E-2</v>
      </c>
      <c r="Q85" s="420"/>
      <c r="R85" s="417"/>
      <c r="S85" s="292" t="str">
        <f t="shared" si="9"/>
        <v/>
      </c>
      <c r="T85" s="292" t="s">
        <v>127</v>
      </c>
      <c r="U85" s="292" t="s">
        <v>3819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3793</v>
      </c>
      <c r="B86" s="104" t="s">
        <v>4076</v>
      </c>
      <c r="C86" s="122" t="s">
        <v>4077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125</v>
      </c>
      <c r="K86" s="293" t="s">
        <v>134</v>
      </c>
      <c r="L86" s="416">
        <v>44126</v>
      </c>
      <c r="M86" s="416">
        <v>44130</v>
      </c>
      <c r="N86" s="387">
        <v>44988</v>
      </c>
      <c r="O86" s="292" t="s">
        <v>3803</v>
      </c>
      <c r="P86" s="388">
        <v>1.4999999999999999E-2</v>
      </c>
      <c r="Q86" s="420" t="s">
        <v>4078</v>
      </c>
      <c r="R86" s="417"/>
      <c r="S86" s="292" t="str">
        <f t="shared" si="9"/>
        <v>Não Qualificado</v>
      </c>
      <c r="T86" s="292" t="s">
        <v>171</v>
      </c>
      <c r="U86" s="292" t="s">
        <v>4079</v>
      </c>
      <c r="V86" s="292" t="s">
        <v>20</v>
      </c>
      <c r="W86" s="418" t="s">
        <v>3806</v>
      </c>
      <c r="X86" s="418" t="s">
        <v>3806</v>
      </c>
      <c r="Y86" s="418" t="s">
        <v>3806</v>
      </c>
      <c r="Z86" s="418" t="s">
        <v>3806</v>
      </c>
      <c r="AA86" s="418" t="s">
        <v>3806</v>
      </c>
      <c r="AB86" s="418" t="s">
        <v>3806</v>
      </c>
      <c r="AC86" s="418" t="s">
        <v>3806</v>
      </c>
      <c r="AD86" s="418" t="s">
        <v>3806</v>
      </c>
      <c r="AE86" s="418" t="s">
        <v>3806</v>
      </c>
      <c r="AF86" s="418" t="s">
        <v>3806</v>
      </c>
      <c r="AG86" s="418" t="s">
        <v>3806</v>
      </c>
      <c r="AH86" s="418" t="s">
        <v>3806</v>
      </c>
      <c r="AI86" s="418" t="s">
        <v>4080</v>
      </c>
      <c r="AJ86" s="418" t="s">
        <v>4081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3793</v>
      </c>
      <c r="B87" s="104" t="s">
        <v>4082</v>
      </c>
      <c r="C87" s="441" t="s">
        <v>4083</v>
      </c>
      <c r="D87" s="422">
        <v>4068685</v>
      </c>
      <c r="E87" s="293" t="s">
        <v>19</v>
      </c>
      <c r="F87" s="293" t="s">
        <v>66</v>
      </c>
      <c r="G87" s="293" t="s">
        <v>316</v>
      </c>
      <c r="H87" s="293" t="str">
        <f>IFERROR(VLOOKUP(G87,'Cadastro de assessores'!A:B,2,FALSE),"Não Cadastrado")</f>
        <v>18009</v>
      </c>
      <c r="I87" s="293"/>
      <c r="J87" s="24" t="s">
        <v>3796</v>
      </c>
      <c r="K87" s="293" t="s">
        <v>134</v>
      </c>
      <c r="L87" s="415">
        <v>44427</v>
      </c>
      <c r="M87" s="415">
        <v>44454</v>
      </c>
      <c r="N87" s="299"/>
      <c r="O87" s="299" t="s">
        <v>3803</v>
      </c>
      <c r="P87" s="388">
        <v>1.4999999999999999E-2</v>
      </c>
      <c r="Q87" s="167" t="s">
        <v>4084</v>
      </c>
      <c r="R87" s="417"/>
      <c r="S87" s="292" t="str">
        <f t="shared" si="9"/>
        <v/>
      </c>
      <c r="T87" s="292" t="s">
        <v>127</v>
      </c>
      <c r="U87" s="292" t="s">
        <v>4085</v>
      </c>
      <c r="V87" s="299" t="s">
        <v>66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3793</v>
      </c>
      <c r="B88" s="104" t="s">
        <v>4086</v>
      </c>
      <c r="C88" s="441" t="s">
        <v>669</v>
      </c>
      <c r="D88" s="422">
        <v>6200964</v>
      </c>
      <c r="E88" s="293" t="s">
        <v>19</v>
      </c>
      <c r="F88" s="293" t="s">
        <v>66</v>
      </c>
      <c r="G88" s="293" t="s">
        <v>144</v>
      </c>
      <c r="H88" s="293">
        <f>IFERROR(VLOOKUP(G88,'Cadastro de assessores'!A:B,2,FALSE),"Não Cadastrado")</f>
        <v>12331</v>
      </c>
      <c r="I88" s="293"/>
      <c r="J88" s="24" t="s">
        <v>3796</v>
      </c>
      <c r="K88" s="293"/>
      <c r="L88" s="415"/>
      <c r="M88" s="415">
        <v>44851</v>
      </c>
      <c r="N88" s="299"/>
      <c r="O88" s="299" t="s">
        <v>3803</v>
      </c>
      <c r="P88" s="388">
        <v>1.4999999999999999E-2</v>
      </c>
      <c r="Q88" s="167" t="s">
        <v>4087</v>
      </c>
      <c r="R88" s="417"/>
      <c r="S88" s="292"/>
      <c r="T88" s="292"/>
      <c r="U88" s="292"/>
      <c r="V88" s="299" t="s">
        <v>66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3793</v>
      </c>
      <c r="B89" s="104" t="s">
        <v>4088</v>
      </c>
      <c r="C89" s="390" t="s">
        <v>4089</v>
      </c>
      <c r="D89" s="432">
        <v>7911381</v>
      </c>
      <c r="E89" s="292" t="s">
        <v>19</v>
      </c>
      <c r="F89" s="292" t="s">
        <v>20</v>
      </c>
      <c r="G89" s="292" t="s">
        <v>184</v>
      </c>
      <c r="H89" s="299">
        <f>IFERROR(VLOOKUP(G89,'Cadastro de assessores'!A:B,2,FALSE),"Não Cadastrado")</f>
        <v>12332</v>
      </c>
      <c r="I89" s="299"/>
      <c r="J89" s="24" t="s">
        <v>125</v>
      </c>
      <c r="K89" s="292" t="s">
        <v>3802</v>
      </c>
      <c r="L89" s="387">
        <v>44655</v>
      </c>
      <c r="M89" s="387">
        <v>44655</v>
      </c>
      <c r="N89" s="391">
        <v>44723</v>
      </c>
      <c r="O89" s="299" t="s">
        <v>3810</v>
      </c>
      <c r="P89" s="388">
        <v>7.0000000000000001E-3</v>
      </c>
      <c r="Q89" s="167" t="s">
        <v>4090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127</v>
      </c>
      <c r="U89" s="292" t="s">
        <v>3941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3793</v>
      </c>
      <c r="B90" s="104" t="s">
        <v>686</v>
      </c>
      <c r="C90" s="441" t="s">
        <v>4091</v>
      </c>
      <c r="D90" s="422">
        <v>9009694</v>
      </c>
      <c r="E90" s="293" t="s">
        <v>19</v>
      </c>
      <c r="F90" s="293" t="s">
        <v>66</v>
      </c>
      <c r="G90" s="293" t="s">
        <v>144</v>
      </c>
      <c r="H90" s="293">
        <f>IFERROR(VLOOKUP(G90,'Cadastro de assessores'!A:B,2,FALSE),"Não Cadastrado")</f>
        <v>12331</v>
      </c>
      <c r="I90" s="293"/>
      <c r="J90" s="24" t="s">
        <v>3796</v>
      </c>
      <c r="K90" s="293" t="s">
        <v>134</v>
      </c>
      <c r="L90" s="415">
        <v>44760</v>
      </c>
      <c r="M90" s="415">
        <v>44762</v>
      </c>
      <c r="N90" s="299"/>
      <c r="O90" s="299" t="s">
        <v>3813</v>
      </c>
      <c r="P90" s="388">
        <v>1.2E-2</v>
      </c>
      <c r="Q90" s="420" t="s">
        <v>4092</v>
      </c>
      <c r="R90" s="417"/>
      <c r="S90" s="292"/>
      <c r="T90" s="292" t="s">
        <v>127</v>
      </c>
      <c r="U90" s="292"/>
      <c r="V90" s="299" t="s">
        <v>66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3793</v>
      </c>
      <c r="B91" s="104" t="s">
        <v>689</v>
      </c>
      <c r="C91" s="390" t="s">
        <v>687</v>
      </c>
      <c r="D91" s="299">
        <v>2218849</v>
      </c>
      <c r="E91" s="293" t="s">
        <v>19</v>
      </c>
      <c r="F91" s="293" t="s">
        <v>66</v>
      </c>
      <c r="G91" s="293" t="s">
        <v>316</v>
      </c>
      <c r="H91" s="299" t="str">
        <f>IFERROR(VLOOKUP(G91,'Cadastro de assessores'!A:B,2,FALSE),"Não Cadastrado")</f>
        <v>18009</v>
      </c>
      <c r="I91" s="299"/>
      <c r="J91" s="24" t="s">
        <v>3796</v>
      </c>
      <c r="K91" s="293" t="s">
        <v>134</v>
      </c>
      <c r="L91" s="415">
        <v>44407</v>
      </c>
      <c r="M91" s="415">
        <v>44407</v>
      </c>
      <c r="N91" s="299"/>
      <c r="O91" s="299" t="s">
        <v>4018</v>
      </c>
      <c r="P91" s="388">
        <v>0.02</v>
      </c>
      <c r="Q91" s="167" t="s">
        <v>4093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127</v>
      </c>
      <c r="U91" s="292" t="s">
        <v>3854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3793</v>
      </c>
      <c r="B92" s="104" t="s">
        <v>4094</v>
      </c>
      <c r="C92" s="390" t="s">
        <v>4095</v>
      </c>
      <c r="D92" s="299">
        <v>5900668</v>
      </c>
      <c r="E92" s="293" t="s">
        <v>19</v>
      </c>
      <c r="F92" s="293" t="s">
        <v>66</v>
      </c>
      <c r="G92" s="293" t="s">
        <v>316</v>
      </c>
      <c r="H92" s="299" t="str">
        <f>IFERROR(VLOOKUP(G92,'Cadastro de assessores'!A:B,2,FALSE),"Não Cadastrado")</f>
        <v>18009</v>
      </c>
      <c r="I92" s="299"/>
      <c r="J92" s="24" t="s">
        <v>3796</v>
      </c>
      <c r="K92" s="292" t="s">
        <v>145</v>
      </c>
      <c r="L92" s="292" t="s">
        <v>3154</v>
      </c>
      <c r="M92" s="436" t="s">
        <v>3644</v>
      </c>
      <c r="N92" s="299"/>
      <c r="O92" s="299" t="s">
        <v>3797</v>
      </c>
      <c r="P92" s="388">
        <v>0.02</v>
      </c>
      <c r="Q92" s="167"/>
      <c r="R92" s="417"/>
      <c r="S92" s="292" t="str">
        <f t="shared" si="10"/>
        <v/>
      </c>
      <c r="T92" s="292" t="s">
        <v>127</v>
      </c>
      <c r="U92" s="292" t="s">
        <v>3854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2940</v>
      </c>
      <c r="BE92" s="339" t="s">
        <v>2940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3793</v>
      </c>
      <c r="B93" s="104" t="s">
        <v>4096</v>
      </c>
      <c r="C93" s="122" t="s">
        <v>4097</v>
      </c>
      <c r="D93" s="292">
        <v>4748841</v>
      </c>
      <c r="E93" s="292" t="s">
        <v>2931</v>
      </c>
      <c r="F93" s="292" t="s">
        <v>20</v>
      </c>
      <c r="G93" s="292" t="s">
        <v>2931</v>
      </c>
      <c r="H93" s="292" t="str">
        <f>IFERROR(VLOOKUP(G93,'Cadastro de assessores'!A:B,2,FALSE),"Não Cadastrado")</f>
        <v>18986</v>
      </c>
      <c r="I93" s="292"/>
      <c r="J93" s="24" t="s">
        <v>125</v>
      </c>
      <c r="K93" s="292" t="s">
        <v>3802</v>
      </c>
      <c r="L93" s="387">
        <v>44215</v>
      </c>
      <c r="M93" s="387">
        <v>44215</v>
      </c>
      <c r="N93" s="387">
        <v>44719</v>
      </c>
      <c r="O93" s="292" t="s">
        <v>3817</v>
      </c>
      <c r="P93" s="388">
        <v>2.5000000000000001E-2</v>
      </c>
      <c r="Q93" s="420" t="s">
        <v>4098</v>
      </c>
      <c r="R93" s="417"/>
      <c r="S93" s="292" t="str">
        <f t="shared" si="10"/>
        <v/>
      </c>
      <c r="T93" s="292" t="s">
        <v>127</v>
      </c>
      <c r="U93" s="292" t="s">
        <v>3937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2940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3793</v>
      </c>
      <c r="B94" s="104" t="s">
        <v>4099</v>
      </c>
      <c r="C94" s="390" t="s">
        <v>4100</v>
      </c>
      <c r="D94" s="299">
        <v>5891248</v>
      </c>
      <c r="E94" s="292" t="s">
        <v>19</v>
      </c>
      <c r="F94" s="292" t="s">
        <v>66</v>
      </c>
      <c r="G94" s="292" t="s">
        <v>316</v>
      </c>
      <c r="H94" s="292" t="str">
        <f>IFERROR(VLOOKUP(G94,'Cadastro de assessores'!A:B,2,FALSE),"Não Cadastrado")</f>
        <v>18009</v>
      </c>
      <c r="I94" s="292"/>
      <c r="J94" s="24" t="s">
        <v>125</v>
      </c>
      <c r="K94" s="292" t="s">
        <v>3802</v>
      </c>
      <c r="L94" s="391">
        <v>44385</v>
      </c>
      <c r="M94" s="391">
        <v>44385</v>
      </c>
      <c r="N94" s="391">
        <v>44650</v>
      </c>
      <c r="O94" s="299" t="s">
        <v>3797</v>
      </c>
      <c r="P94" s="388">
        <v>0.02</v>
      </c>
      <c r="Q94" s="420" t="s">
        <v>4101</v>
      </c>
      <c r="R94" s="417"/>
      <c r="S94" s="292" t="str">
        <f t="shared" si="10"/>
        <v>Qualificado</v>
      </c>
      <c r="T94" s="292" t="s">
        <v>127</v>
      </c>
      <c r="U94" s="292" t="s">
        <v>4102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2940</v>
      </c>
      <c r="BE94" s="339" t="s">
        <v>2940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3793</v>
      </c>
      <c r="B95" s="104" t="s">
        <v>4103</v>
      </c>
      <c r="C95" s="122" t="s">
        <v>4104</v>
      </c>
      <c r="D95" s="292">
        <v>4947220</v>
      </c>
      <c r="E95" s="292" t="s">
        <v>19</v>
      </c>
      <c r="F95" s="292" t="s">
        <v>20</v>
      </c>
      <c r="G95" s="292" t="s">
        <v>4105</v>
      </c>
      <c r="H95" s="292">
        <f>IFERROR(VLOOKUP(G95,'Cadastro de assessores'!A:B,2,FALSE),"Não Cadastrado")</f>
        <v>12339</v>
      </c>
      <c r="I95" s="292"/>
      <c r="J95" s="24" t="s">
        <v>125</v>
      </c>
      <c r="K95" s="292" t="s">
        <v>3802</v>
      </c>
      <c r="L95" s="387">
        <v>44277</v>
      </c>
      <c r="M95" s="387">
        <v>44277</v>
      </c>
      <c r="N95" s="387">
        <v>44781</v>
      </c>
      <c r="O95" s="292" t="s">
        <v>3813</v>
      </c>
      <c r="P95" s="388">
        <v>1.2E-2</v>
      </c>
      <c r="Q95" s="420" t="s">
        <v>4106</v>
      </c>
      <c r="R95" s="417"/>
      <c r="S95" s="292" t="str">
        <f t="shared" si="10"/>
        <v>Não Qualificado</v>
      </c>
      <c r="T95" s="292" t="s">
        <v>127</v>
      </c>
      <c r="U95" s="292" t="s">
        <v>3854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3793</v>
      </c>
      <c r="B96" s="104" t="s">
        <v>4107</v>
      </c>
      <c r="C96" s="441" t="s">
        <v>4108</v>
      </c>
      <c r="D96" s="293">
        <v>6478648</v>
      </c>
      <c r="E96" s="293" t="s">
        <v>19</v>
      </c>
      <c r="F96" s="293" t="s">
        <v>66</v>
      </c>
      <c r="G96" s="426" t="s">
        <v>316</v>
      </c>
      <c r="H96" s="426" t="str">
        <f>IFERROR(VLOOKUP(G96,'Cadastro de assessores'!A:B,2,FALSE),"Não Cadastrado")</f>
        <v>18009</v>
      </c>
      <c r="I96" s="426"/>
      <c r="J96" s="24" t="s">
        <v>125</v>
      </c>
      <c r="K96" s="293" t="s">
        <v>134</v>
      </c>
      <c r="L96" s="415">
        <v>44442</v>
      </c>
      <c r="M96" s="415">
        <v>44445</v>
      </c>
      <c r="N96" s="419">
        <v>44914</v>
      </c>
      <c r="O96" s="292" t="s">
        <v>3810</v>
      </c>
      <c r="P96" s="388">
        <v>7.0000000000000001E-3</v>
      </c>
      <c r="Q96" s="167" t="s">
        <v>4109</v>
      </c>
      <c r="R96" s="417"/>
      <c r="S96" s="292" t="str">
        <f t="shared" si="10"/>
        <v>Não Qualificado</v>
      </c>
      <c r="T96" s="292" t="s">
        <v>127</v>
      </c>
      <c r="U96" s="292" t="s">
        <v>3975</v>
      </c>
      <c r="V96" s="299" t="s">
        <v>66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3793</v>
      </c>
      <c r="B97" s="104" t="s">
        <v>4110</v>
      </c>
      <c r="C97" s="122" t="s">
        <v>4111</v>
      </c>
      <c r="D97" s="292">
        <v>4553905</v>
      </c>
      <c r="E97" s="293" t="s">
        <v>46</v>
      </c>
      <c r="F97" s="293" t="s">
        <v>20</v>
      </c>
      <c r="G97" s="293" t="s">
        <v>4112</v>
      </c>
      <c r="H97" s="293" t="str">
        <f>IFERROR(VLOOKUP(G97,'Cadastro de assessores'!A:B,2,FALSE),"Não Cadastrado")</f>
        <v>19157</v>
      </c>
      <c r="I97" s="293"/>
      <c r="J97" s="24" t="s">
        <v>3796</v>
      </c>
      <c r="K97" s="292" t="s">
        <v>145</v>
      </c>
      <c r="L97" s="416">
        <v>44130</v>
      </c>
      <c r="M97" s="416">
        <v>44132</v>
      </c>
      <c r="N97" s="299"/>
      <c r="O97" s="299" t="s">
        <v>3797</v>
      </c>
      <c r="P97" s="388">
        <v>0.02</v>
      </c>
      <c r="Q97" s="420"/>
      <c r="R97" s="417"/>
      <c r="S97" s="292" t="str">
        <f t="shared" si="10"/>
        <v/>
      </c>
      <c r="T97" s="292" t="s">
        <v>127</v>
      </c>
      <c r="U97" s="292" t="s">
        <v>3824</v>
      </c>
      <c r="V97" s="292" t="s">
        <v>20</v>
      </c>
      <c r="W97" s="418" t="s">
        <v>3806</v>
      </c>
      <c r="X97" s="418" t="s">
        <v>3806</v>
      </c>
      <c r="Y97" s="418" t="s">
        <v>3806</v>
      </c>
      <c r="Z97" s="418" t="s">
        <v>3806</v>
      </c>
      <c r="AA97" s="418" t="s">
        <v>3806</v>
      </c>
      <c r="AB97" s="418" t="s">
        <v>3806</v>
      </c>
      <c r="AC97" s="418" t="s">
        <v>3806</v>
      </c>
      <c r="AD97" s="418" t="s">
        <v>3806</v>
      </c>
      <c r="AE97" s="418" t="s">
        <v>3806</v>
      </c>
      <c r="AF97" s="418" t="s">
        <v>3806</v>
      </c>
      <c r="AG97" s="418" t="s">
        <v>3806</v>
      </c>
      <c r="AH97" s="418" t="s">
        <v>3806</v>
      </c>
      <c r="AI97" s="418" t="s">
        <v>4113</v>
      </c>
      <c r="AJ97" s="418" t="s">
        <v>4114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2940</v>
      </c>
      <c r="BE97" s="339" t="s">
        <v>2940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3793</v>
      </c>
      <c r="B98" s="104" t="s">
        <v>3641</v>
      </c>
      <c r="C98" s="122" t="s">
        <v>3638</v>
      </c>
      <c r="D98" s="292">
        <v>4425922</v>
      </c>
      <c r="E98" s="292" t="s">
        <v>46</v>
      </c>
      <c r="F98" s="292" t="s">
        <v>20</v>
      </c>
      <c r="G98" s="292" t="s">
        <v>3640</v>
      </c>
      <c r="H98" s="292" t="str">
        <f>IFERROR(VLOOKUP(G98,'Cadastro de assessores'!A:B,2,FALSE),"Não Cadastrado")</f>
        <v>14574</v>
      </c>
      <c r="I98" s="292"/>
      <c r="J98" s="24" t="s">
        <v>125</v>
      </c>
      <c r="K98" s="292" t="s">
        <v>3802</v>
      </c>
      <c r="L98" s="387">
        <v>44076</v>
      </c>
      <c r="M98" s="387">
        <v>44076</v>
      </c>
      <c r="N98" s="292"/>
      <c r="O98" s="292" t="s">
        <v>3803</v>
      </c>
      <c r="P98" s="388">
        <v>1.4999999999999999E-2</v>
      </c>
      <c r="Q98" s="420" t="s">
        <v>4115</v>
      </c>
      <c r="R98" s="417"/>
      <c r="S98" s="292" t="str">
        <f t="shared" si="10"/>
        <v/>
      </c>
      <c r="T98" s="292" t="s">
        <v>127</v>
      </c>
      <c r="U98" s="292" t="s">
        <v>3831</v>
      </c>
      <c r="V98" s="292" t="s">
        <v>20</v>
      </c>
      <c r="W98" s="418" t="s">
        <v>3806</v>
      </c>
      <c r="X98" s="418" t="s">
        <v>3806</v>
      </c>
      <c r="Y98" s="418" t="s">
        <v>3806</v>
      </c>
      <c r="Z98" s="418" t="s">
        <v>3806</v>
      </c>
      <c r="AA98" s="418" t="s">
        <v>3806</v>
      </c>
      <c r="AB98" s="418" t="s">
        <v>3806</v>
      </c>
      <c r="AC98" s="418" t="s">
        <v>3806</v>
      </c>
      <c r="AD98" s="418" t="s">
        <v>3806</v>
      </c>
      <c r="AE98" s="418" t="s">
        <v>3806</v>
      </c>
      <c r="AF98" s="418" t="s">
        <v>3806</v>
      </c>
      <c r="AG98" s="418" t="s">
        <v>3806</v>
      </c>
      <c r="AH98" s="418" t="s">
        <v>4116</v>
      </c>
      <c r="AI98" s="418" t="s">
        <v>4117</v>
      </c>
      <c r="AJ98" s="418" t="s">
        <v>4118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3793</v>
      </c>
      <c r="B99" s="104" t="s">
        <v>4119</v>
      </c>
      <c r="C99" s="390" t="s">
        <v>4120</v>
      </c>
      <c r="D99" s="432">
        <v>3863949</v>
      </c>
      <c r="E99" s="292" t="s">
        <v>19</v>
      </c>
      <c r="F99" s="292" t="s">
        <v>66</v>
      </c>
      <c r="G99" s="292" t="s">
        <v>144</v>
      </c>
      <c r="H99" s="292">
        <f>IFERROR(VLOOKUP(G99,'Cadastro de assessores'!A:B,2,FALSE),"Não Cadastrado")</f>
        <v>12331</v>
      </c>
      <c r="I99" s="292"/>
      <c r="J99" s="24" t="s">
        <v>125</v>
      </c>
      <c r="K99" s="292" t="s">
        <v>3802</v>
      </c>
      <c r="L99" s="387">
        <v>44648</v>
      </c>
      <c r="M99" s="387">
        <v>44648</v>
      </c>
      <c r="N99" s="387">
        <v>44796</v>
      </c>
      <c r="O99" s="292" t="s">
        <v>3803</v>
      </c>
      <c r="P99" s="388">
        <v>0</v>
      </c>
      <c r="Q99" s="442" t="s">
        <v>4121</v>
      </c>
      <c r="R99" s="417"/>
      <c r="S99" s="292" t="str">
        <f t="shared" si="10"/>
        <v>Não Qualificado</v>
      </c>
      <c r="T99" s="292" t="s">
        <v>127</v>
      </c>
      <c r="U99" s="292" t="s">
        <v>3849</v>
      </c>
      <c r="V99" s="292" t="s">
        <v>66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2940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3793</v>
      </c>
      <c r="B100" s="104" t="s">
        <v>4119</v>
      </c>
      <c r="C100" s="390" t="s">
        <v>4120</v>
      </c>
      <c r="D100" s="443">
        <v>8165220</v>
      </c>
      <c r="E100" s="292" t="s">
        <v>19</v>
      </c>
      <c r="F100" s="292" t="s">
        <v>66</v>
      </c>
      <c r="G100" s="292" t="s">
        <v>144</v>
      </c>
      <c r="H100" s="292">
        <f>IFERROR(VLOOKUP(G100,'Cadastro de assessores'!A:B,2,FALSE),"Não Cadastrado")</f>
        <v>12331</v>
      </c>
      <c r="I100" s="292"/>
      <c r="J100" s="24" t="s">
        <v>125</v>
      </c>
      <c r="K100" s="292" t="s">
        <v>3802</v>
      </c>
      <c r="L100" s="387">
        <v>44648</v>
      </c>
      <c r="M100" s="387">
        <v>44648</v>
      </c>
      <c r="N100" s="387">
        <v>44796</v>
      </c>
      <c r="O100" s="292" t="s">
        <v>3803</v>
      </c>
      <c r="P100" s="388">
        <v>1.4999999999999999E-2</v>
      </c>
      <c r="Q100" s="167" t="s">
        <v>4122</v>
      </c>
      <c r="R100" s="417"/>
      <c r="S100" s="292" t="str">
        <f t="shared" si="10"/>
        <v/>
      </c>
      <c r="T100" s="292" t="s">
        <v>127</v>
      </c>
      <c r="U100" s="292" t="s">
        <v>3849</v>
      </c>
      <c r="V100" s="292" t="s">
        <v>66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3793</v>
      </c>
      <c r="B101" s="104" t="s">
        <v>4123</v>
      </c>
      <c r="C101" s="122" t="s">
        <v>4124</v>
      </c>
      <c r="D101" s="292">
        <v>4638237</v>
      </c>
      <c r="E101" s="292" t="s">
        <v>46</v>
      </c>
      <c r="F101" s="292" t="s">
        <v>20</v>
      </c>
      <c r="G101" s="292" t="s">
        <v>4075</v>
      </c>
      <c r="H101" s="292" t="str">
        <f>IFERROR(VLOOKUP(G101,'Cadastro de assessores'!A:B,2,FALSE),"Não Cadastrado")</f>
        <v>15049</v>
      </c>
      <c r="I101" s="292"/>
      <c r="J101" s="24" t="s">
        <v>125</v>
      </c>
      <c r="K101" s="292" t="s">
        <v>3802</v>
      </c>
      <c r="L101" s="419"/>
      <c r="M101" s="419">
        <v>44186</v>
      </c>
      <c r="N101" s="387">
        <v>44803</v>
      </c>
      <c r="O101" s="292" t="s">
        <v>3813</v>
      </c>
      <c r="P101" s="388">
        <v>1.2E-2</v>
      </c>
      <c r="Q101" s="420" t="s">
        <v>4125</v>
      </c>
      <c r="R101" s="417"/>
      <c r="S101" s="292" t="str">
        <f t="shared" si="10"/>
        <v>Não Qualificado</v>
      </c>
      <c r="T101" s="292" t="s">
        <v>127</v>
      </c>
      <c r="U101" s="292" t="s">
        <v>4126</v>
      </c>
      <c r="V101" s="292" t="s">
        <v>1676</v>
      </c>
      <c r="W101" s="418" t="s">
        <v>3806</v>
      </c>
      <c r="X101" s="418" t="s">
        <v>3806</v>
      </c>
      <c r="Y101" s="418" t="s">
        <v>3806</v>
      </c>
      <c r="Z101" s="418" t="s">
        <v>3806</v>
      </c>
      <c r="AA101" s="418" t="s">
        <v>3806</v>
      </c>
      <c r="AB101" s="418" t="s">
        <v>3806</v>
      </c>
      <c r="AC101" s="418" t="s">
        <v>3806</v>
      </c>
      <c r="AD101" s="418" t="s">
        <v>3806</v>
      </c>
      <c r="AE101" s="418" t="s">
        <v>3806</v>
      </c>
      <c r="AF101" s="418" t="s">
        <v>3806</v>
      </c>
      <c r="AG101" s="418" t="s">
        <v>3806</v>
      </c>
      <c r="AH101" s="418" t="s">
        <v>3806</v>
      </c>
      <c r="AI101" s="418" t="s">
        <v>3806</v>
      </c>
      <c r="AJ101" s="418" t="s">
        <v>3806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3793</v>
      </c>
      <c r="B102" s="104" t="s">
        <v>4127</v>
      </c>
      <c r="C102" s="122" t="s">
        <v>4128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125</v>
      </c>
      <c r="K102" s="292"/>
      <c r="L102" s="387"/>
      <c r="M102" s="387">
        <v>44105</v>
      </c>
      <c r="N102" s="387">
        <v>44777</v>
      </c>
      <c r="O102" s="292" t="s">
        <v>4129</v>
      </c>
      <c r="P102" s="388">
        <v>1.4999999999999999E-2</v>
      </c>
      <c r="Q102" s="311" t="s">
        <v>4130</v>
      </c>
      <c r="R102" s="417"/>
      <c r="S102" s="292" t="str">
        <f t="shared" si="10"/>
        <v>Não Qualificado</v>
      </c>
      <c r="T102" s="292" t="s">
        <v>4131</v>
      </c>
      <c r="U102" s="292" t="s">
        <v>4057</v>
      </c>
      <c r="V102" s="292" t="s">
        <v>878</v>
      </c>
      <c r="W102" s="418" t="s">
        <v>3806</v>
      </c>
      <c r="X102" s="418" t="s">
        <v>3806</v>
      </c>
      <c r="Y102" s="418" t="s">
        <v>3806</v>
      </c>
      <c r="Z102" s="418" t="s">
        <v>3806</v>
      </c>
      <c r="AA102" s="418" t="s">
        <v>3806</v>
      </c>
      <c r="AB102" s="418" t="s">
        <v>3806</v>
      </c>
      <c r="AC102" s="418" t="s">
        <v>3806</v>
      </c>
      <c r="AD102" s="418" t="s">
        <v>3806</v>
      </c>
      <c r="AE102" s="418" t="s">
        <v>3806</v>
      </c>
      <c r="AF102" s="418" t="s">
        <v>3806</v>
      </c>
      <c r="AG102" s="418" t="s">
        <v>3806</v>
      </c>
      <c r="AH102" s="418" t="s">
        <v>3806</v>
      </c>
      <c r="AI102" s="418" t="s">
        <v>3806</v>
      </c>
      <c r="AJ102" s="418" t="s">
        <v>4132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4133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3793</v>
      </c>
      <c r="B103" s="104" t="s">
        <v>4134</v>
      </c>
      <c r="C103" s="390" t="s">
        <v>4135</v>
      </c>
      <c r="D103" s="292">
        <v>4422283</v>
      </c>
      <c r="E103" s="292" t="s">
        <v>46</v>
      </c>
      <c r="F103" s="292" t="s">
        <v>20</v>
      </c>
      <c r="G103" s="292" t="s">
        <v>4136</v>
      </c>
      <c r="H103" s="292" t="str">
        <f>IFERROR(VLOOKUP(G103,'Cadastro de assessores'!A:B,2,FALSE),"Não Cadastrado")</f>
        <v>17489</v>
      </c>
      <c r="I103" s="292"/>
      <c r="J103" s="24" t="s">
        <v>125</v>
      </c>
      <c r="K103" s="292" t="s">
        <v>3802</v>
      </c>
      <c r="L103" s="387">
        <v>44091</v>
      </c>
      <c r="M103" s="387">
        <v>44091</v>
      </c>
      <c r="N103" s="387">
        <v>44692</v>
      </c>
      <c r="O103" s="292" t="s">
        <v>3817</v>
      </c>
      <c r="P103" s="388">
        <v>2.5000000000000001E-2</v>
      </c>
      <c r="Q103" s="420" t="s">
        <v>3900</v>
      </c>
      <c r="R103" s="417"/>
      <c r="S103" s="292" t="str">
        <f t="shared" si="10"/>
        <v>Não Qualificado</v>
      </c>
      <c r="T103" s="292" t="s">
        <v>127</v>
      </c>
      <c r="U103" s="292" t="s">
        <v>3831</v>
      </c>
      <c r="V103" s="292" t="s">
        <v>20</v>
      </c>
      <c r="W103" s="418" t="s">
        <v>3806</v>
      </c>
      <c r="X103" s="418" t="s">
        <v>3806</v>
      </c>
      <c r="Y103" s="418" t="s">
        <v>3806</v>
      </c>
      <c r="Z103" s="418" t="s">
        <v>3806</v>
      </c>
      <c r="AA103" s="418" t="s">
        <v>3806</v>
      </c>
      <c r="AB103" s="418" t="s">
        <v>3806</v>
      </c>
      <c r="AC103" s="418" t="s">
        <v>3806</v>
      </c>
      <c r="AD103" s="418" t="s">
        <v>3806</v>
      </c>
      <c r="AE103" s="418" t="s">
        <v>3806</v>
      </c>
      <c r="AF103" s="418" t="s">
        <v>3806</v>
      </c>
      <c r="AG103" s="418" t="s">
        <v>3806</v>
      </c>
      <c r="AH103" s="418" t="s">
        <v>4137</v>
      </c>
      <c r="AI103" s="418" t="s">
        <v>4138</v>
      </c>
      <c r="AJ103" s="418" t="s">
        <v>4139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2940</v>
      </c>
      <c r="BE103" s="339" t="s">
        <v>2940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3793</v>
      </c>
      <c r="B104" s="104" t="s">
        <v>4140</v>
      </c>
      <c r="C104" s="390" t="s">
        <v>4141</v>
      </c>
      <c r="D104" s="292">
        <v>5928177</v>
      </c>
      <c r="E104" s="292" t="s">
        <v>19</v>
      </c>
      <c r="F104" s="292" t="s">
        <v>66</v>
      </c>
      <c r="G104" s="292" t="s">
        <v>4142</v>
      </c>
      <c r="H104" s="292" t="str">
        <f>IFERROR(VLOOKUP(G104,'Cadastro de assessores'!A:B,2,FALSE),"Não Cadastrado")</f>
        <v>14294</v>
      </c>
      <c r="I104" s="292"/>
      <c r="J104" s="24" t="s">
        <v>125</v>
      </c>
      <c r="K104" s="292" t="s">
        <v>3802</v>
      </c>
      <c r="L104" s="387">
        <v>44398</v>
      </c>
      <c r="M104" s="387">
        <v>44398</v>
      </c>
      <c r="N104" s="387">
        <v>44680</v>
      </c>
      <c r="O104" s="292" t="s">
        <v>3810</v>
      </c>
      <c r="P104" s="388">
        <v>7.0000000000000001E-3</v>
      </c>
      <c r="Q104" s="167" t="s">
        <v>4143</v>
      </c>
      <c r="R104" s="417"/>
      <c r="S104" s="292" t="str">
        <f t="shared" si="10"/>
        <v>Não Qualificado</v>
      </c>
      <c r="T104" s="299" t="s">
        <v>171</v>
      </c>
      <c r="U104" s="299" t="s">
        <v>4144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2940</v>
      </c>
      <c r="BE104" s="339" t="s">
        <v>2940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3793</v>
      </c>
      <c r="B105" s="104" t="s">
        <v>4145</v>
      </c>
      <c r="C105" s="122" t="s">
        <v>4146</v>
      </c>
      <c r="D105" s="292">
        <v>4627802</v>
      </c>
      <c r="E105" s="292" t="s">
        <v>46</v>
      </c>
      <c r="F105" s="292" t="s">
        <v>20</v>
      </c>
      <c r="G105" s="292" t="s">
        <v>234</v>
      </c>
      <c r="H105" s="292" t="str">
        <f>IFERROR(VLOOKUP(G105,'Cadastro de assessores'!A:B,2,FALSE),"Não Cadastrado")</f>
        <v>14699</v>
      </c>
      <c r="I105" s="292"/>
      <c r="J105" s="24" t="s">
        <v>125</v>
      </c>
      <c r="K105" s="292" t="s">
        <v>3802</v>
      </c>
      <c r="L105" s="419">
        <v>44183</v>
      </c>
      <c r="M105" s="419">
        <v>44183</v>
      </c>
      <c r="N105" s="387">
        <v>44253</v>
      </c>
      <c r="O105" s="292" t="s">
        <v>3803</v>
      </c>
      <c r="P105" s="388">
        <v>1.4999999999999999E-2</v>
      </c>
      <c r="Q105" s="420" t="s">
        <v>4147</v>
      </c>
      <c r="R105" s="417"/>
      <c r="S105" s="292" t="str">
        <f t="shared" si="10"/>
        <v/>
      </c>
      <c r="T105" s="292" t="s">
        <v>127</v>
      </c>
      <c r="U105" s="292" t="s">
        <v>3824</v>
      </c>
      <c r="V105" s="292" t="s">
        <v>20</v>
      </c>
      <c r="W105" s="418" t="s">
        <v>3806</v>
      </c>
      <c r="X105" s="418" t="s">
        <v>3806</v>
      </c>
      <c r="Y105" s="418" t="s">
        <v>3806</v>
      </c>
      <c r="Z105" s="418" t="s">
        <v>3806</v>
      </c>
      <c r="AA105" s="418" t="s">
        <v>3806</v>
      </c>
      <c r="AB105" s="418" t="s">
        <v>3806</v>
      </c>
      <c r="AC105" s="418" t="s">
        <v>3806</v>
      </c>
      <c r="AD105" s="418" t="s">
        <v>3806</v>
      </c>
      <c r="AE105" s="418" t="s">
        <v>3806</v>
      </c>
      <c r="AF105" s="418" t="s">
        <v>3806</v>
      </c>
      <c r="AG105" s="418" t="s">
        <v>3806</v>
      </c>
      <c r="AH105" s="418" t="s">
        <v>3806</v>
      </c>
      <c r="AI105" s="418" t="s">
        <v>3806</v>
      </c>
      <c r="AJ105" s="418" t="s">
        <v>3806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2940</v>
      </c>
      <c r="BE105" s="339" t="s">
        <v>2940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3793</v>
      </c>
      <c r="B106" s="104" t="s">
        <v>4148</v>
      </c>
      <c r="C106" s="122" t="s">
        <v>4149</v>
      </c>
      <c r="D106" s="292">
        <v>4401235</v>
      </c>
      <c r="E106" s="293" t="s">
        <v>19</v>
      </c>
      <c r="F106" s="293" t="s">
        <v>20</v>
      </c>
      <c r="G106" s="293" t="s">
        <v>4150</v>
      </c>
      <c r="H106" s="293">
        <f>IFERROR(VLOOKUP(G106,'Cadastro de assessores'!A:B,2,FALSE),"Não Cadastrado")</f>
        <v>12337</v>
      </c>
      <c r="I106" s="293"/>
      <c r="J106" s="24" t="s">
        <v>125</v>
      </c>
      <c r="K106" s="293" t="s">
        <v>134</v>
      </c>
      <c r="L106" s="415">
        <v>44819</v>
      </c>
      <c r="M106" s="415">
        <v>44089</v>
      </c>
      <c r="N106" s="387">
        <v>44930</v>
      </c>
      <c r="O106" s="292" t="s">
        <v>3810</v>
      </c>
      <c r="P106" s="388">
        <v>7.0000000000000001E-3</v>
      </c>
      <c r="Q106" s="420" t="s">
        <v>4151</v>
      </c>
      <c r="R106" s="417"/>
      <c r="S106" s="292" t="str">
        <f t="shared" si="10"/>
        <v/>
      </c>
      <c r="T106" s="292" t="s">
        <v>127</v>
      </c>
      <c r="U106" s="292" t="s">
        <v>3805</v>
      </c>
      <c r="V106" s="299" t="s">
        <v>20</v>
      </c>
      <c r="W106" s="418" t="s">
        <v>3806</v>
      </c>
      <c r="X106" s="418" t="s">
        <v>3806</v>
      </c>
      <c r="Y106" s="418" t="s">
        <v>3806</v>
      </c>
      <c r="Z106" s="418" t="s">
        <v>3806</v>
      </c>
      <c r="AA106" s="418" t="s">
        <v>3806</v>
      </c>
      <c r="AB106" s="418" t="s">
        <v>3806</v>
      </c>
      <c r="AC106" s="418" t="s">
        <v>3806</v>
      </c>
      <c r="AD106" s="418" t="s">
        <v>3806</v>
      </c>
      <c r="AE106" s="418" t="s">
        <v>3806</v>
      </c>
      <c r="AF106" s="418" t="s">
        <v>3806</v>
      </c>
      <c r="AG106" s="418" t="s">
        <v>3806</v>
      </c>
      <c r="AH106" s="418" t="s">
        <v>4152</v>
      </c>
      <c r="AI106" s="418" t="s">
        <v>4153</v>
      </c>
      <c r="AJ106" s="418" t="s">
        <v>4154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3793</v>
      </c>
      <c r="B107" s="104" t="s">
        <v>762</v>
      </c>
      <c r="C107" s="122" t="s">
        <v>760</v>
      </c>
      <c r="D107" s="292">
        <v>2720929</v>
      </c>
      <c r="E107" s="293" t="s">
        <v>19</v>
      </c>
      <c r="F107" s="293" t="s">
        <v>20</v>
      </c>
      <c r="G107" s="293" t="s">
        <v>4150</v>
      </c>
      <c r="H107" s="293">
        <f>IFERROR(VLOOKUP(G107,'Cadastro de assessores'!A:B,2,FALSE),"Não Cadastrado")</f>
        <v>12337</v>
      </c>
      <c r="I107" s="293"/>
      <c r="J107" s="24" t="s">
        <v>3796</v>
      </c>
      <c r="K107" s="293" t="s">
        <v>134</v>
      </c>
      <c r="L107" s="415">
        <v>44109</v>
      </c>
      <c r="M107" s="415">
        <v>44111</v>
      </c>
      <c r="N107" s="292"/>
      <c r="O107" s="292" t="s">
        <v>3813</v>
      </c>
      <c r="P107" s="388">
        <v>1.2E-2</v>
      </c>
      <c r="Q107" s="420" t="s">
        <v>4155</v>
      </c>
      <c r="R107" s="417"/>
      <c r="S107" s="292" t="str">
        <f t="shared" si="10"/>
        <v>Qualificado</v>
      </c>
      <c r="T107" s="292" t="s">
        <v>127</v>
      </c>
      <c r="U107" s="292" t="s">
        <v>3805</v>
      </c>
      <c r="V107" s="299" t="s">
        <v>20</v>
      </c>
      <c r="W107" s="418" t="s">
        <v>3806</v>
      </c>
      <c r="X107" s="418" t="s">
        <v>3806</v>
      </c>
      <c r="Y107" s="418" t="s">
        <v>3806</v>
      </c>
      <c r="Z107" s="418" t="s">
        <v>3806</v>
      </c>
      <c r="AA107" s="418" t="s">
        <v>3806</v>
      </c>
      <c r="AB107" s="418" t="s">
        <v>3806</v>
      </c>
      <c r="AC107" s="418" t="s">
        <v>3806</v>
      </c>
      <c r="AD107" s="418" t="s">
        <v>3806</v>
      </c>
      <c r="AE107" s="418" t="s">
        <v>3806</v>
      </c>
      <c r="AF107" s="418" t="s">
        <v>3806</v>
      </c>
      <c r="AG107" s="418" t="s">
        <v>3806</v>
      </c>
      <c r="AH107" s="418" t="s">
        <v>3806</v>
      </c>
      <c r="AI107" s="418" t="s">
        <v>4156</v>
      </c>
      <c r="AJ107" s="418" t="s">
        <v>4157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3793</v>
      </c>
      <c r="B108" s="104" t="s">
        <v>762</v>
      </c>
      <c r="C108" s="390" t="s">
        <v>760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3796</v>
      </c>
      <c r="K108" s="292" t="s">
        <v>145</v>
      </c>
      <c r="L108" s="292" t="s">
        <v>3154</v>
      </c>
      <c r="M108" s="436" t="s">
        <v>3644</v>
      </c>
      <c r="N108" s="292"/>
      <c r="O108" s="292" t="s">
        <v>4158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127</v>
      </c>
      <c r="U108" s="292" t="s">
        <v>3805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2940</v>
      </c>
      <c r="BE108" s="339" t="s">
        <v>2940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3793</v>
      </c>
      <c r="B109" s="104" t="s">
        <v>772</v>
      </c>
      <c r="C109" s="122" t="s">
        <v>4159</v>
      </c>
      <c r="D109" s="422">
        <v>6096787</v>
      </c>
      <c r="E109" s="293" t="s">
        <v>46</v>
      </c>
      <c r="F109" s="293" t="s">
        <v>20</v>
      </c>
      <c r="G109" s="293" t="s">
        <v>4160</v>
      </c>
      <c r="H109" s="293">
        <f>IFERROR(VLOOKUP(G109,'Cadastro de assessores'!A:B,2,FALSE),"Não Cadastrado")</f>
        <v>12352</v>
      </c>
      <c r="I109" s="293"/>
      <c r="J109" s="24" t="s">
        <v>3796</v>
      </c>
      <c r="K109" s="293"/>
      <c r="L109" s="415">
        <v>44834</v>
      </c>
      <c r="M109" s="415">
        <v>44840</v>
      </c>
      <c r="N109" s="299"/>
      <c r="O109" s="299" t="s">
        <v>3810</v>
      </c>
      <c r="P109" s="388">
        <v>0.01</v>
      </c>
      <c r="Q109" s="420"/>
      <c r="R109" s="417"/>
      <c r="S109" s="292"/>
      <c r="T109" s="292"/>
      <c r="U109" s="292"/>
      <c r="V109" s="292" t="s">
        <v>3154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3793</v>
      </c>
      <c r="B110" s="104" t="s">
        <v>4161</v>
      </c>
      <c r="C110" s="122" t="s">
        <v>4162</v>
      </c>
      <c r="D110" s="292">
        <v>4860809</v>
      </c>
      <c r="E110" s="293" t="s">
        <v>46</v>
      </c>
      <c r="F110" s="293" t="s">
        <v>20</v>
      </c>
      <c r="G110" s="293" t="s">
        <v>234</v>
      </c>
      <c r="H110" s="293" t="str">
        <f>IFERROR(VLOOKUP(G110,'Cadastro de assessores'!A:B,2,FALSE),"Não Cadastrado")</f>
        <v>14699</v>
      </c>
      <c r="I110" s="293"/>
      <c r="J110" s="24" t="s">
        <v>3796</v>
      </c>
      <c r="K110" s="293" t="s">
        <v>134</v>
      </c>
      <c r="L110" s="415">
        <v>44264</v>
      </c>
      <c r="M110" s="415">
        <v>44264</v>
      </c>
      <c r="N110" s="299"/>
      <c r="O110" s="299" t="s">
        <v>3850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127</v>
      </c>
      <c r="U110" s="292" t="s">
        <v>3824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3793</v>
      </c>
      <c r="B111" s="104" t="s">
        <v>4161</v>
      </c>
      <c r="C111" s="122" t="s">
        <v>4162</v>
      </c>
      <c r="D111" s="292">
        <v>4841420</v>
      </c>
      <c r="E111" s="293" t="s">
        <v>46</v>
      </c>
      <c r="F111" s="293" t="s">
        <v>20</v>
      </c>
      <c r="G111" s="293" t="s">
        <v>234</v>
      </c>
      <c r="H111" s="293" t="str">
        <f>IFERROR(VLOOKUP(G111,'Cadastro de assessores'!A:B,2,FALSE),"Não Cadastrado")</f>
        <v>14699</v>
      </c>
      <c r="I111" s="293"/>
      <c r="J111" s="24" t="s">
        <v>3796</v>
      </c>
      <c r="K111" s="293" t="s">
        <v>134</v>
      </c>
      <c r="L111" s="415">
        <v>44264</v>
      </c>
      <c r="M111" s="415">
        <v>44264</v>
      </c>
      <c r="N111" s="292"/>
      <c r="O111" s="292" t="s">
        <v>3803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127</v>
      </c>
      <c r="U111" s="292" t="s">
        <v>3824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3793</v>
      </c>
      <c r="B112" s="104" t="s">
        <v>4163</v>
      </c>
      <c r="C112" s="390" t="s">
        <v>4164</v>
      </c>
      <c r="D112" s="299">
        <v>6404430</v>
      </c>
      <c r="E112" s="299" t="s">
        <v>4165</v>
      </c>
      <c r="F112" s="299" t="s">
        <v>878</v>
      </c>
      <c r="G112" s="299" t="s">
        <v>4166</v>
      </c>
      <c r="H112" s="299" t="str">
        <f>IFERROR(VLOOKUP(G112,'Cadastro de assessores'!A:B,2,FALSE),"Não Cadastrado")</f>
        <v>14434</v>
      </c>
      <c r="I112" s="299"/>
      <c r="J112" s="24" t="s">
        <v>125</v>
      </c>
      <c r="K112" s="292" t="s">
        <v>3802</v>
      </c>
      <c r="L112" s="391">
        <v>44461</v>
      </c>
      <c r="M112" s="391">
        <v>44461</v>
      </c>
      <c r="N112" s="299"/>
      <c r="O112" s="299" t="s">
        <v>3810</v>
      </c>
      <c r="P112" s="392">
        <v>7.0000000000000001E-3</v>
      </c>
      <c r="Q112" s="167" t="s">
        <v>4167</v>
      </c>
      <c r="R112" s="417"/>
      <c r="S112" s="292" t="str">
        <f t="shared" si="11"/>
        <v>Qualificado</v>
      </c>
      <c r="T112" s="292" t="s">
        <v>127</v>
      </c>
      <c r="U112" s="292" t="s">
        <v>4057</v>
      </c>
      <c r="V112" s="292" t="s">
        <v>878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2940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3793</v>
      </c>
      <c r="B113" s="104" t="s">
        <v>4163</v>
      </c>
      <c r="C113" s="390" t="s">
        <v>4164</v>
      </c>
      <c r="D113" s="444">
        <v>2126289</v>
      </c>
      <c r="E113" s="292" t="s">
        <v>4165</v>
      </c>
      <c r="F113" s="292" t="s">
        <v>878</v>
      </c>
      <c r="G113" s="299" t="s">
        <v>4166</v>
      </c>
      <c r="H113" s="299" t="str">
        <f>IFERROR(VLOOKUP(G113,'Cadastro de assessores'!A:B,2,FALSE),"Não Cadastrado")</f>
        <v>14434</v>
      </c>
      <c r="I113" s="299"/>
      <c r="J113" s="24" t="s">
        <v>125</v>
      </c>
      <c r="K113" s="292" t="s">
        <v>3802</v>
      </c>
      <c r="L113" s="387">
        <v>44432</v>
      </c>
      <c r="M113" s="387">
        <v>44432</v>
      </c>
      <c r="N113" s="299"/>
      <c r="O113" s="299" t="s">
        <v>3803</v>
      </c>
      <c r="P113" s="388">
        <v>1.4999999999999999E-2</v>
      </c>
      <c r="Q113" s="167" t="s">
        <v>4168</v>
      </c>
      <c r="R113" s="417"/>
      <c r="S113" s="292" t="str">
        <f t="shared" si="11"/>
        <v>Não Qualificado</v>
      </c>
      <c r="T113" s="292" t="s">
        <v>127</v>
      </c>
      <c r="U113" s="292" t="s">
        <v>4057</v>
      </c>
      <c r="V113" s="292" t="s">
        <v>878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3793</v>
      </c>
      <c r="B114" s="104" t="s">
        <v>775</v>
      </c>
      <c r="C114" s="122" t="s">
        <v>773</v>
      </c>
      <c r="D114" s="292">
        <v>4413613</v>
      </c>
      <c r="E114" s="293" t="s">
        <v>46</v>
      </c>
      <c r="F114" s="293" t="s">
        <v>20</v>
      </c>
      <c r="G114" s="293" t="s">
        <v>3981</v>
      </c>
      <c r="H114" s="293" t="str">
        <f>IFERROR(VLOOKUP(G114,'Cadastro de assessores'!A:B,2,FALSE),"Não Cadastrado")</f>
        <v>16459</v>
      </c>
      <c r="I114" s="293"/>
      <c r="J114" s="24" t="s">
        <v>3796</v>
      </c>
      <c r="K114" s="293" t="s">
        <v>134</v>
      </c>
      <c r="L114" s="415">
        <v>44071</v>
      </c>
      <c r="M114" s="415">
        <v>44071</v>
      </c>
      <c r="N114" s="299"/>
      <c r="O114" s="299" t="s">
        <v>3797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127</v>
      </c>
      <c r="U114" s="292" t="s">
        <v>3805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4169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3793</v>
      </c>
      <c r="B115" s="104" t="s">
        <v>4170</v>
      </c>
      <c r="C115" s="390" t="s">
        <v>4171</v>
      </c>
      <c r="D115" s="432">
        <v>7991210</v>
      </c>
      <c r="E115" s="292" t="s">
        <v>19</v>
      </c>
      <c r="F115" s="292" t="s">
        <v>20</v>
      </c>
      <c r="G115" s="292" t="s">
        <v>184</v>
      </c>
      <c r="H115" s="292">
        <f>IFERROR(VLOOKUP(G115,'Cadastro de assessores'!A:B,2,FALSE),"Não Cadastrado")</f>
        <v>12332</v>
      </c>
      <c r="I115" s="292"/>
      <c r="J115" s="24" t="s">
        <v>125</v>
      </c>
      <c r="K115" s="292" t="s">
        <v>3802</v>
      </c>
      <c r="L115" s="387">
        <v>44613</v>
      </c>
      <c r="M115" s="387">
        <v>44613</v>
      </c>
      <c r="N115" s="387">
        <v>44711</v>
      </c>
      <c r="O115" s="292" t="s">
        <v>3810</v>
      </c>
      <c r="P115" s="392">
        <v>7.0000000000000001E-3</v>
      </c>
      <c r="Q115" s="167" t="s">
        <v>4172</v>
      </c>
      <c r="R115" s="417"/>
      <c r="S115" s="292" t="str">
        <f t="shared" si="11"/>
        <v>Não Qualificado</v>
      </c>
      <c r="T115" s="292" t="s">
        <v>127</v>
      </c>
      <c r="U115" s="292"/>
      <c r="V115" s="292" t="s">
        <v>3154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2940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3793</v>
      </c>
      <c r="B116" s="104" t="s">
        <v>4173</v>
      </c>
      <c r="C116" s="390" t="s">
        <v>4174</v>
      </c>
      <c r="D116" s="299">
        <v>5182986</v>
      </c>
      <c r="E116" s="293" t="s">
        <v>19</v>
      </c>
      <c r="F116" s="293" t="s">
        <v>20</v>
      </c>
      <c r="G116" s="293" t="s">
        <v>4175</v>
      </c>
      <c r="H116" s="293" t="str">
        <f>IFERROR(VLOOKUP(G116,'Cadastro de assessores'!A:B,2,FALSE),"Não Cadastrado")</f>
        <v>13363</v>
      </c>
      <c r="I116" s="293"/>
      <c r="J116" s="24" t="s">
        <v>3796</v>
      </c>
      <c r="K116" s="292" t="s">
        <v>145</v>
      </c>
      <c r="L116" s="415">
        <v>44298</v>
      </c>
      <c r="M116" s="415">
        <v>44305</v>
      </c>
      <c r="N116" s="292"/>
      <c r="O116" s="292" t="s">
        <v>3817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127</v>
      </c>
      <c r="U116" s="292" t="s">
        <v>3824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3793</v>
      </c>
      <c r="B117" s="104" t="s">
        <v>4176</v>
      </c>
      <c r="C117" s="390" t="s">
        <v>4177</v>
      </c>
      <c r="D117" s="299">
        <v>2735065</v>
      </c>
      <c r="E117" s="292" t="s">
        <v>19</v>
      </c>
      <c r="F117" s="292" t="s">
        <v>20</v>
      </c>
      <c r="G117" s="292" t="s">
        <v>3689</v>
      </c>
      <c r="H117" s="292" t="str">
        <f>IFERROR(VLOOKUP(G117,'Cadastro de assessores'!A:B,2,FALSE),"Não Cadastrado")</f>
        <v>18266</v>
      </c>
      <c r="I117" s="292"/>
      <c r="J117" s="24" t="s">
        <v>125</v>
      </c>
      <c r="K117" s="292" t="s">
        <v>3802</v>
      </c>
      <c r="L117" s="387">
        <v>44365</v>
      </c>
      <c r="M117" s="387">
        <v>44365</v>
      </c>
      <c r="N117" s="391">
        <v>44641</v>
      </c>
      <c r="O117" s="299" t="s">
        <v>3850</v>
      </c>
      <c r="P117" s="392">
        <v>8.0000000000000002E-3</v>
      </c>
      <c r="Q117" s="167" t="s">
        <v>4178</v>
      </c>
      <c r="R117" s="417"/>
      <c r="S117" s="292" t="str">
        <f t="shared" si="11"/>
        <v/>
      </c>
      <c r="T117" s="292" t="s">
        <v>127</v>
      </c>
      <c r="U117" s="292" t="s">
        <v>4057</v>
      </c>
      <c r="V117" s="292" t="s">
        <v>878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2940</v>
      </c>
      <c r="BE117" s="339" t="s">
        <v>2940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3793</v>
      </c>
      <c r="B118" s="104" t="s">
        <v>782</v>
      </c>
      <c r="C118" s="390" t="s">
        <v>779</v>
      </c>
      <c r="D118" s="299">
        <v>2889018</v>
      </c>
      <c r="E118" s="293" t="s">
        <v>19</v>
      </c>
      <c r="F118" s="293" t="s">
        <v>20</v>
      </c>
      <c r="G118" s="293" t="s">
        <v>184</v>
      </c>
      <c r="H118" s="293">
        <f>IFERROR(VLOOKUP(G118,'Cadastro de assessores'!A:B,2,FALSE),"Não Cadastrado")</f>
        <v>12332</v>
      </c>
      <c r="I118" s="293"/>
      <c r="J118" s="24" t="s">
        <v>134</v>
      </c>
      <c r="K118" s="293" t="s">
        <v>134</v>
      </c>
      <c r="L118" s="415">
        <v>44421</v>
      </c>
      <c r="M118" s="415">
        <v>44421</v>
      </c>
      <c r="N118" s="292"/>
      <c r="O118" s="292" t="s">
        <v>3803</v>
      </c>
      <c r="P118" s="428">
        <v>1.4999999999999999E-2</v>
      </c>
      <c r="Q118" s="446" t="s">
        <v>4179</v>
      </c>
      <c r="R118" s="417"/>
      <c r="S118" s="292" t="str">
        <f t="shared" si="11"/>
        <v>Não Qualificado</v>
      </c>
      <c r="T118" s="292" t="s">
        <v>127</v>
      </c>
      <c r="U118" s="292" t="s">
        <v>3819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3793</v>
      </c>
      <c r="B119" s="104" t="s">
        <v>4180</v>
      </c>
      <c r="C119" s="390" t="s">
        <v>4181</v>
      </c>
      <c r="D119" s="293">
        <v>4089984</v>
      </c>
      <c r="E119" s="293" t="s">
        <v>19</v>
      </c>
      <c r="F119" s="293" t="s">
        <v>66</v>
      </c>
      <c r="G119" s="293" t="s">
        <v>316</v>
      </c>
      <c r="H119" s="293" t="str">
        <f>IFERROR(VLOOKUP(G119,'Cadastro de assessores'!A:B,2,FALSE),"Não Cadastrado")</f>
        <v>18009</v>
      </c>
      <c r="I119" s="293"/>
      <c r="J119" s="24" t="s">
        <v>134</v>
      </c>
      <c r="K119" s="293" t="s">
        <v>134</v>
      </c>
      <c r="L119" s="415">
        <v>44341</v>
      </c>
      <c r="M119" s="415">
        <v>44357</v>
      </c>
      <c r="N119" s="292"/>
      <c r="O119" s="292" t="s">
        <v>3817</v>
      </c>
      <c r="P119" s="392">
        <v>2.5000000000000001E-2</v>
      </c>
      <c r="Q119" s="167" t="s">
        <v>4182</v>
      </c>
      <c r="R119" s="417"/>
      <c r="S119" s="292" t="str">
        <f t="shared" si="11"/>
        <v/>
      </c>
      <c r="T119" s="292" t="s">
        <v>127</v>
      </c>
      <c r="U119" s="292" t="s">
        <v>4102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3793</v>
      </c>
      <c r="B120" s="104" t="s">
        <v>4183</v>
      </c>
      <c r="C120" s="390" t="s">
        <v>4184</v>
      </c>
      <c r="D120" s="299">
        <v>5635853</v>
      </c>
      <c r="E120" s="293" t="s">
        <v>2931</v>
      </c>
      <c r="F120" s="293" t="s">
        <v>20</v>
      </c>
      <c r="G120" s="293" t="s">
        <v>2931</v>
      </c>
      <c r="H120" s="293" t="str">
        <f>IFERROR(VLOOKUP(G120,'Cadastro de assessores'!A:B,2,FALSE),"Não Cadastrado")</f>
        <v>18986</v>
      </c>
      <c r="I120" s="293"/>
      <c r="J120" s="24" t="s">
        <v>3796</v>
      </c>
      <c r="K120" s="292" t="s">
        <v>145</v>
      </c>
      <c r="L120" s="415">
        <v>44368</v>
      </c>
      <c r="M120" s="415">
        <v>44368</v>
      </c>
      <c r="N120" s="292"/>
      <c r="O120" s="292" t="s">
        <v>3803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127</v>
      </c>
      <c r="U120" s="292" t="s">
        <v>4085</v>
      </c>
      <c r="V120" s="299" t="s">
        <v>66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3793</v>
      </c>
      <c r="B121" s="104" t="s">
        <v>786</v>
      </c>
      <c r="C121" s="390" t="s">
        <v>783</v>
      </c>
      <c r="D121" s="422">
        <v>5891073</v>
      </c>
      <c r="E121" s="293" t="s">
        <v>46</v>
      </c>
      <c r="F121" s="293" t="s">
        <v>20</v>
      </c>
      <c r="G121" s="293" t="s">
        <v>3870</v>
      </c>
      <c r="H121" s="293" t="str">
        <f>IFERROR(VLOOKUP(G121,'Cadastro de assessores'!A:B,2,FALSE),"Não Cadastrado")</f>
        <v>1298</v>
      </c>
      <c r="I121" s="293"/>
      <c r="J121" s="24" t="s">
        <v>3796</v>
      </c>
      <c r="K121" s="292" t="s">
        <v>145</v>
      </c>
      <c r="L121" s="293" t="s">
        <v>3154</v>
      </c>
      <c r="M121" s="293" t="s">
        <v>3644</v>
      </c>
      <c r="N121" s="299"/>
      <c r="O121" s="299" t="s">
        <v>3810</v>
      </c>
      <c r="P121" s="388">
        <v>7.0000000000000001E-3</v>
      </c>
      <c r="Q121" s="167" t="s">
        <v>4185</v>
      </c>
      <c r="R121" s="417"/>
      <c r="S121" s="292" t="str">
        <f t="shared" si="11"/>
        <v/>
      </c>
      <c r="T121" s="292" t="s">
        <v>127</v>
      </c>
      <c r="U121" s="292" t="s">
        <v>4186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2940</v>
      </c>
      <c r="BE121" s="339" t="s">
        <v>2940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3793</v>
      </c>
      <c r="B122" s="104" t="s">
        <v>786</v>
      </c>
      <c r="C122" s="122" t="s">
        <v>783</v>
      </c>
      <c r="D122" s="292">
        <v>4556454</v>
      </c>
      <c r="E122" s="293" t="s">
        <v>46</v>
      </c>
      <c r="F122" s="293" t="s">
        <v>20</v>
      </c>
      <c r="G122" s="293" t="s">
        <v>3870</v>
      </c>
      <c r="H122" s="293" t="str">
        <f>IFERROR(VLOOKUP(G122,'Cadastro de assessores'!A:B,2,FALSE),"Não Cadastrado")</f>
        <v>1298</v>
      </c>
      <c r="I122" s="293"/>
      <c r="J122" s="24" t="s">
        <v>3796</v>
      </c>
      <c r="K122" s="293" t="s">
        <v>134</v>
      </c>
      <c r="L122" s="416">
        <v>44151</v>
      </c>
      <c r="M122" s="416">
        <v>44151</v>
      </c>
      <c r="N122" s="299"/>
      <c r="O122" s="299" t="s">
        <v>3797</v>
      </c>
      <c r="P122" s="388">
        <v>0.02</v>
      </c>
      <c r="Q122" s="420" t="s">
        <v>4187</v>
      </c>
      <c r="R122" s="417"/>
      <c r="S122" s="292" t="str">
        <f t="shared" si="11"/>
        <v>Não Qualificado</v>
      </c>
      <c r="T122" s="292" t="s">
        <v>127</v>
      </c>
      <c r="U122" s="292" t="s">
        <v>4186</v>
      </c>
      <c r="V122" s="292" t="s">
        <v>20</v>
      </c>
      <c r="W122" s="418" t="s">
        <v>3806</v>
      </c>
      <c r="X122" s="418" t="s">
        <v>3806</v>
      </c>
      <c r="Y122" s="418" t="s">
        <v>3806</v>
      </c>
      <c r="Z122" s="418" t="s">
        <v>3806</v>
      </c>
      <c r="AA122" s="418" t="s">
        <v>3806</v>
      </c>
      <c r="AB122" s="418" t="s">
        <v>3806</v>
      </c>
      <c r="AC122" s="418" t="s">
        <v>3806</v>
      </c>
      <c r="AD122" s="418" t="s">
        <v>3806</v>
      </c>
      <c r="AE122" s="418" t="s">
        <v>3806</v>
      </c>
      <c r="AF122" s="418" t="s">
        <v>3806</v>
      </c>
      <c r="AG122" s="418" t="s">
        <v>3806</v>
      </c>
      <c r="AH122" s="418" t="s">
        <v>3806</v>
      </c>
      <c r="AI122" s="418" t="s">
        <v>3806</v>
      </c>
      <c r="AJ122" s="418" t="s">
        <v>4188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3793</v>
      </c>
      <c r="B123" s="104" t="s">
        <v>792</v>
      </c>
      <c r="C123" s="390" t="s">
        <v>789</v>
      </c>
      <c r="D123" s="422">
        <v>7772052</v>
      </c>
      <c r="E123" s="293" t="s">
        <v>19</v>
      </c>
      <c r="F123" s="293" t="s">
        <v>20</v>
      </c>
      <c r="G123" s="293" t="s">
        <v>791</v>
      </c>
      <c r="H123" s="293" t="str">
        <f>IFERROR(VLOOKUP(G123,'Cadastro de assessores'!A:B,2,FALSE),"Não Cadastrado")</f>
        <v>18467</v>
      </c>
      <c r="I123" s="293"/>
      <c r="J123" s="24" t="s">
        <v>3796</v>
      </c>
      <c r="K123" s="293" t="s">
        <v>134</v>
      </c>
      <c r="L123" s="423">
        <v>44630</v>
      </c>
      <c r="M123" s="423">
        <v>44635</v>
      </c>
      <c r="N123" s="299"/>
      <c r="O123" s="299" t="s">
        <v>3810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127</v>
      </c>
      <c r="U123" s="292" t="s">
        <v>4189</v>
      </c>
      <c r="V123" s="292" t="s">
        <v>793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3793</v>
      </c>
      <c r="B124" s="104" t="s">
        <v>4190</v>
      </c>
      <c r="C124" s="390" t="s">
        <v>4191</v>
      </c>
      <c r="D124" s="422">
        <v>4113513</v>
      </c>
      <c r="E124" s="293" t="s">
        <v>46</v>
      </c>
      <c r="F124" s="293" t="s">
        <v>20</v>
      </c>
      <c r="G124" s="293" t="s">
        <v>2810</v>
      </c>
      <c r="H124" s="293">
        <f>IFERROR(VLOOKUP(G124,'Cadastro de assessores'!A:B,2,FALSE),"Não Cadastrado")</f>
        <v>12347</v>
      </c>
      <c r="I124" s="293"/>
      <c r="J124" s="24" t="s">
        <v>134</v>
      </c>
      <c r="K124" s="293" t="s">
        <v>134</v>
      </c>
      <c r="L124" s="423">
        <v>44694</v>
      </c>
      <c r="M124" s="423">
        <v>44694</v>
      </c>
      <c r="N124" s="299"/>
      <c r="O124" s="299" t="s">
        <v>3813</v>
      </c>
      <c r="P124" s="388">
        <v>1.2E-2</v>
      </c>
      <c r="Q124" s="167"/>
      <c r="R124" s="417"/>
      <c r="S124" s="292" t="str">
        <f t="shared" si="11"/>
        <v/>
      </c>
      <c r="T124" s="292" t="s">
        <v>127</v>
      </c>
      <c r="U124" s="292" t="s">
        <v>3941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3793</v>
      </c>
      <c r="B125" s="104" t="s">
        <v>804</v>
      </c>
      <c r="C125" s="390" t="s">
        <v>4192</v>
      </c>
      <c r="D125" s="299">
        <v>6456590</v>
      </c>
      <c r="E125" s="293" t="s">
        <v>19</v>
      </c>
      <c r="F125" s="293" t="s">
        <v>20</v>
      </c>
      <c r="G125" s="293" t="s">
        <v>791</v>
      </c>
      <c r="H125" s="293" t="str">
        <f>IFERROR(VLOOKUP(G125,'Cadastro de assessores'!A:B,2,FALSE),"Não Cadastrado")</f>
        <v>18467</v>
      </c>
      <c r="I125" s="293"/>
      <c r="J125" s="24" t="s">
        <v>134</v>
      </c>
      <c r="K125" s="293" t="s">
        <v>134</v>
      </c>
      <c r="L125" s="415">
        <v>44456</v>
      </c>
      <c r="M125" s="415">
        <v>44462</v>
      </c>
      <c r="N125" s="299"/>
      <c r="O125" s="299" t="s">
        <v>3797</v>
      </c>
      <c r="P125" s="388">
        <v>0.02</v>
      </c>
      <c r="Q125" s="167" t="s">
        <v>4193</v>
      </c>
      <c r="R125" s="417"/>
      <c r="S125" s="292" t="str">
        <f t="shared" si="11"/>
        <v/>
      </c>
      <c r="T125" s="292" t="s">
        <v>127</v>
      </c>
      <c r="U125" s="292" t="s">
        <v>3937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3793</v>
      </c>
      <c r="B126" s="104" t="s">
        <v>4194</v>
      </c>
      <c r="C126" s="122" t="s">
        <v>4195</v>
      </c>
      <c r="D126" s="292">
        <v>3553004</v>
      </c>
      <c r="E126" s="293" t="s">
        <v>2931</v>
      </c>
      <c r="F126" s="293" t="s">
        <v>20</v>
      </c>
      <c r="G126" s="293" t="s">
        <v>2931</v>
      </c>
      <c r="H126" s="293" t="str">
        <f>IFERROR(VLOOKUP(G126,'Cadastro de assessores'!A:B,2,FALSE),"Não Cadastrado")</f>
        <v>18986</v>
      </c>
      <c r="I126" s="293"/>
      <c r="J126" s="24" t="s">
        <v>125</v>
      </c>
      <c r="K126" s="292" t="s">
        <v>134</v>
      </c>
      <c r="L126" s="415">
        <v>43742</v>
      </c>
      <c r="M126" s="415">
        <v>43742</v>
      </c>
      <c r="N126" s="419">
        <v>44888</v>
      </c>
      <c r="O126" s="292" t="s">
        <v>4196</v>
      </c>
      <c r="P126" s="428">
        <v>0.01</v>
      </c>
      <c r="Q126" s="420" t="s">
        <v>4197</v>
      </c>
      <c r="R126" s="417"/>
      <c r="S126" s="292" t="str">
        <f t="shared" si="11"/>
        <v>Não Qualificado</v>
      </c>
      <c r="T126" s="292" t="s">
        <v>127</v>
      </c>
      <c r="U126" s="292" t="s">
        <v>3975</v>
      </c>
      <c r="V126" s="292" t="s">
        <v>66</v>
      </c>
      <c r="W126" s="418" t="s">
        <v>4198</v>
      </c>
      <c r="X126" s="418"/>
      <c r="Y126" s="418" t="s">
        <v>4199</v>
      </c>
      <c r="Z126" s="418" t="s">
        <v>4200</v>
      </c>
      <c r="AA126" s="418" t="s">
        <v>4201</v>
      </c>
      <c r="AB126" s="418" t="s">
        <v>4202</v>
      </c>
      <c r="AC126" s="418" t="s">
        <v>4203</v>
      </c>
      <c r="AD126" s="418" t="s">
        <v>4204</v>
      </c>
      <c r="AE126" s="418" t="s">
        <v>4205</v>
      </c>
      <c r="AF126" s="418" t="s">
        <v>4206</v>
      </c>
      <c r="AG126" s="418" t="s">
        <v>4207</v>
      </c>
      <c r="AH126" s="418" t="s">
        <v>4208</v>
      </c>
      <c r="AI126" s="418" t="s">
        <v>4209</v>
      </c>
      <c r="AJ126" s="418" t="s">
        <v>4210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3793</v>
      </c>
      <c r="B127" s="104" t="s">
        <v>820</v>
      </c>
      <c r="C127" s="122" t="s">
        <v>818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3796</v>
      </c>
      <c r="K127" s="293" t="s">
        <v>134</v>
      </c>
      <c r="L127" s="416">
        <v>44126</v>
      </c>
      <c r="M127" s="416">
        <v>44130</v>
      </c>
      <c r="N127" s="292"/>
      <c r="O127" s="292" t="s">
        <v>3813</v>
      </c>
      <c r="P127" s="388">
        <v>1.2E-2</v>
      </c>
      <c r="Q127" s="420"/>
      <c r="R127" s="417"/>
      <c r="S127" s="292" t="str">
        <f t="shared" si="11"/>
        <v/>
      </c>
      <c r="T127" s="292" t="s">
        <v>127</v>
      </c>
      <c r="U127" s="292" t="s">
        <v>3824</v>
      </c>
      <c r="V127" s="292" t="s">
        <v>20</v>
      </c>
      <c r="W127" s="418" t="s">
        <v>3806</v>
      </c>
      <c r="X127" s="418" t="s">
        <v>3806</v>
      </c>
      <c r="Y127" s="418" t="s">
        <v>3806</v>
      </c>
      <c r="Z127" s="418" t="s">
        <v>3806</v>
      </c>
      <c r="AA127" s="418" t="s">
        <v>3806</v>
      </c>
      <c r="AB127" s="418" t="s">
        <v>3806</v>
      </c>
      <c r="AC127" s="418" t="s">
        <v>3806</v>
      </c>
      <c r="AD127" s="418" t="s">
        <v>3806</v>
      </c>
      <c r="AE127" s="418" t="s">
        <v>3806</v>
      </c>
      <c r="AF127" s="418" t="s">
        <v>3806</v>
      </c>
      <c r="AG127" s="418" t="s">
        <v>3806</v>
      </c>
      <c r="AH127" s="418" t="s">
        <v>3806</v>
      </c>
      <c r="AI127" s="418" t="s">
        <v>4211</v>
      </c>
      <c r="AJ127" s="418" t="s">
        <v>4212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3793</v>
      </c>
      <c r="B128" s="104" t="s">
        <v>4213</v>
      </c>
      <c r="C128" s="122" t="s">
        <v>4214</v>
      </c>
      <c r="D128" s="292">
        <v>2699859</v>
      </c>
      <c r="E128" s="293" t="s">
        <v>2931</v>
      </c>
      <c r="F128" s="293" t="s">
        <v>20</v>
      </c>
      <c r="G128" s="293" t="s">
        <v>2931</v>
      </c>
      <c r="H128" s="293" t="str">
        <f>IFERROR(VLOOKUP(G128,'Cadastro de assessores'!A:B,2,FALSE),"Não Cadastrado")</f>
        <v>18986</v>
      </c>
      <c r="I128" s="293"/>
      <c r="J128" s="24" t="s">
        <v>3796</v>
      </c>
      <c r="K128" s="292" t="s">
        <v>145</v>
      </c>
      <c r="L128" s="415">
        <v>43865</v>
      </c>
      <c r="M128" s="415">
        <v>43869</v>
      </c>
      <c r="N128" s="292"/>
      <c r="O128" s="292" t="s">
        <v>3803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127</v>
      </c>
      <c r="U128" s="292" t="s">
        <v>3819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3793</v>
      </c>
      <c r="B129" s="104" t="s">
        <v>4215</v>
      </c>
      <c r="C129" s="390" t="s">
        <v>4216</v>
      </c>
      <c r="D129" s="293">
        <v>5947460</v>
      </c>
      <c r="E129" s="293" t="s">
        <v>19</v>
      </c>
      <c r="F129" s="293" t="s">
        <v>20</v>
      </c>
      <c r="G129" s="299" t="s">
        <v>3080</v>
      </c>
      <c r="H129" s="299" t="str">
        <f>IFERROR(VLOOKUP(G129,'Cadastro de assessores'!A:B,2,FALSE),"Não Cadastrado")</f>
        <v>18236</v>
      </c>
      <c r="I129" s="299"/>
      <c r="J129" s="24" t="s">
        <v>3796</v>
      </c>
      <c r="K129" s="293" t="s">
        <v>134</v>
      </c>
      <c r="L129" s="415">
        <v>44398</v>
      </c>
      <c r="M129" s="415">
        <v>44399</v>
      </c>
      <c r="N129" s="292"/>
      <c r="O129" s="292" t="s">
        <v>3803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127</v>
      </c>
      <c r="U129" s="292" t="s">
        <v>4217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3793</v>
      </c>
      <c r="B130" s="104" t="s">
        <v>4218</v>
      </c>
      <c r="C130" s="122" t="s">
        <v>4219</v>
      </c>
      <c r="D130" s="292">
        <v>2216296</v>
      </c>
      <c r="E130" s="293" t="s">
        <v>46</v>
      </c>
      <c r="F130" s="293" t="s">
        <v>20</v>
      </c>
      <c r="G130" s="293" t="s">
        <v>3981</v>
      </c>
      <c r="H130" s="293" t="str">
        <f>IFERROR(VLOOKUP(G130,'Cadastro de assessores'!A:B,2,FALSE),"Não Cadastrado")</f>
        <v>16459</v>
      </c>
      <c r="I130" s="293"/>
      <c r="J130" s="24" t="s">
        <v>125</v>
      </c>
      <c r="K130" s="293" t="s">
        <v>134</v>
      </c>
      <c r="L130" s="415">
        <v>44088</v>
      </c>
      <c r="M130" s="415">
        <v>44088</v>
      </c>
      <c r="N130" s="447">
        <v>44886</v>
      </c>
      <c r="O130" s="299" t="s">
        <v>3797</v>
      </c>
      <c r="P130" s="428">
        <v>0.01</v>
      </c>
      <c r="Q130" s="311" t="s">
        <v>4220</v>
      </c>
      <c r="R130" s="417"/>
      <c r="S130" s="292" t="str">
        <f t="shared" si="11"/>
        <v>Não Qualificado</v>
      </c>
      <c r="T130" s="292" t="s">
        <v>127</v>
      </c>
      <c r="U130" s="292" t="s">
        <v>4186</v>
      </c>
      <c r="V130" s="292" t="s">
        <v>20</v>
      </c>
      <c r="W130" s="418" t="s">
        <v>3806</v>
      </c>
      <c r="X130" s="418" t="s">
        <v>3806</v>
      </c>
      <c r="Y130" s="418" t="s">
        <v>3806</v>
      </c>
      <c r="Z130" s="418" t="s">
        <v>3806</v>
      </c>
      <c r="AA130" s="418" t="s">
        <v>3806</v>
      </c>
      <c r="AB130" s="418" t="s">
        <v>3806</v>
      </c>
      <c r="AC130" s="418" t="s">
        <v>3806</v>
      </c>
      <c r="AD130" s="418" t="s">
        <v>3806</v>
      </c>
      <c r="AE130" s="418" t="s">
        <v>3806</v>
      </c>
      <c r="AF130" s="418" t="s">
        <v>3806</v>
      </c>
      <c r="AG130" s="418" t="s">
        <v>3806</v>
      </c>
      <c r="AH130" s="418" t="s">
        <v>4221</v>
      </c>
      <c r="AI130" s="418" t="s">
        <v>4222</v>
      </c>
      <c r="AJ130" s="418" t="s">
        <v>4223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3793</v>
      </c>
      <c r="B131" s="104" t="s">
        <v>4224</v>
      </c>
      <c r="C131" s="390" t="s">
        <v>4225</v>
      </c>
      <c r="D131" s="299">
        <v>5537937</v>
      </c>
      <c r="E131" s="292" t="s">
        <v>19</v>
      </c>
      <c r="F131" s="292" t="s">
        <v>20</v>
      </c>
      <c r="G131" s="292" t="s">
        <v>4226</v>
      </c>
      <c r="H131" s="292">
        <f>IFERROR(VLOOKUP(G131,'Cadastro de assessores'!A:B,2,FALSE),"Não Cadastrado")</f>
        <v>12335</v>
      </c>
      <c r="I131" s="292"/>
      <c r="J131" s="24" t="s">
        <v>125</v>
      </c>
      <c r="K131" s="292" t="s">
        <v>3802</v>
      </c>
      <c r="L131" s="387">
        <v>44323</v>
      </c>
      <c r="M131" s="387">
        <v>44323</v>
      </c>
      <c r="N131" s="387">
        <v>44725</v>
      </c>
      <c r="O131" s="292" t="s">
        <v>3810</v>
      </c>
      <c r="P131" s="388">
        <v>7.0000000000000001E-3</v>
      </c>
      <c r="Q131" s="167" t="s">
        <v>4227</v>
      </c>
      <c r="R131" s="417"/>
      <c r="S131" s="292" t="str">
        <f t="shared" si="11"/>
        <v>Não Qualificado</v>
      </c>
      <c r="T131" s="292" t="s">
        <v>127</v>
      </c>
      <c r="U131" s="299" t="s">
        <v>4047</v>
      </c>
      <c r="V131" s="299" t="s">
        <v>575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3793</v>
      </c>
      <c r="B132" s="104" t="s">
        <v>4228</v>
      </c>
      <c r="C132" s="122" t="s">
        <v>4229</v>
      </c>
      <c r="D132" s="292">
        <v>4440692</v>
      </c>
      <c r="E132" s="292" t="s">
        <v>19</v>
      </c>
      <c r="F132" s="292" t="s">
        <v>20</v>
      </c>
      <c r="G132" s="292" t="s">
        <v>3801</v>
      </c>
      <c r="H132" s="292" t="str">
        <f>IFERROR(VLOOKUP(G132,'Cadastro de assessores'!A:B,2,FALSE),"Não Cadastrado")</f>
        <v>17679</v>
      </c>
      <c r="I132" s="292"/>
      <c r="J132" s="24" t="s">
        <v>125</v>
      </c>
      <c r="K132" s="292" t="s">
        <v>3802</v>
      </c>
      <c r="L132" s="387">
        <v>44085</v>
      </c>
      <c r="M132" s="387">
        <v>44085</v>
      </c>
      <c r="N132" s="387">
        <v>44447</v>
      </c>
      <c r="O132" s="292" t="s">
        <v>3810</v>
      </c>
      <c r="P132" s="388">
        <v>7.0000000000000001E-3</v>
      </c>
      <c r="Q132" s="420" t="s">
        <v>4230</v>
      </c>
      <c r="R132" s="417"/>
      <c r="S132" s="292" t="str">
        <f t="shared" si="11"/>
        <v>Qualificado</v>
      </c>
      <c r="T132" s="292" t="s">
        <v>127</v>
      </c>
      <c r="U132" s="292" t="s">
        <v>4231</v>
      </c>
      <c r="V132" s="292" t="s">
        <v>3653</v>
      </c>
      <c r="W132" s="418" t="s">
        <v>3806</v>
      </c>
      <c r="X132" s="418" t="s">
        <v>3806</v>
      </c>
      <c r="Y132" s="418" t="s">
        <v>3806</v>
      </c>
      <c r="Z132" s="418" t="s">
        <v>3806</v>
      </c>
      <c r="AA132" s="418" t="s">
        <v>3806</v>
      </c>
      <c r="AB132" s="418" t="s">
        <v>3806</v>
      </c>
      <c r="AC132" s="418" t="s">
        <v>3806</v>
      </c>
      <c r="AD132" s="418" t="s">
        <v>3806</v>
      </c>
      <c r="AE132" s="418" t="s">
        <v>3806</v>
      </c>
      <c r="AF132" s="418" t="s">
        <v>3806</v>
      </c>
      <c r="AG132" s="418" t="s">
        <v>3806</v>
      </c>
      <c r="AH132" s="418" t="s">
        <v>4232</v>
      </c>
      <c r="AI132" s="418" t="s">
        <v>4233</v>
      </c>
      <c r="AJ132" s="418" t="s">
        <v>4234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2940</v>
      </c>
      <c r="BE132" s="339" t="s">
        <v>2940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3793</v>
      </c>
      <c r="B133" s="104" t="s">
        <v>4235</v>
      </c>
      <c r="C133" s="122" t="s">
        <v>4236</v>
      </c>
      <c r="D133" s="292">
        <v>4571776</v>
      </c>
      <c r="E133" s="293" t="s">
        <v>46</v>
      </c>
      <c r="F133" s="293" t="s">
        <v>20</v>
      </c>
      <c r="G133" s="293" t="s">
        <v>3640</v>
      </c>
      <c r="H133" s="293" t="str">
        <f>IFERROR(VLOOKUP(G133,'Cadastro de assessores'!A:B,2,FALSE),"Não Cadastrado")</f>
        <v>14574</v>
      </c>
      <c r="I133" s="293"/>
      <c r="J133" s="24" t="s">
        <v>3796</v>
      </c>
      <c r="K133" s="292" t="s">
        <v>145</v>
      </c>
      <c r="L133" s="292" t="s">
        <v>3154</v>
      </c>
      <c r="M133" s="436" t="s">
        <v>3644</v>
      </c>
      <c r="N133" s="292"/>
      <c r="O133" s="292" t="s">
        <v>3813</v>
      </c>
      <c r="P133" s="388">
        <v>1.2E-2</v>
      </c>
      <c r="Q133" s="420"/>
      <c r="R133" s="417"/>
      <c r="S133" s="292" t="str">
        <f t="shared" si="11"/>
        <v/>
      </c>
      <c r="T133" s="292" t="s">
        <v>127</v>
      </c>
      <c r="U133" s="292" t="s">
        <v>3937</v>
      </c>
      <c r="V133" s="292" t="s">
        <v>20</v>
      </c>
      <c r="W133" s="418" t="s">
        <v>3806</v>
      </c>
      <c r="X133" s="418" t="s">
        <v>3806</v>
      </c>
      <c r="Y133" s="418" t="s">
        <v>3806</v>
      </c>
      <c r="Z133" s="418" t="s">
        <v>3806</v>
      </c>
      <c r="AA133" s="418" t="s">
        <v>3806</v>
      </c>
      <c r="AB133" s="418" t="s">
        <v>3806</v>
      </c>
      <c r="AC133" s="418" t="s">
        <v>3806</v>
      </c>
      <c r="AD133" s="418" t="s">
        <v>3806</v>
      </c>
      <c r="AE133" s="418" t="s">
        <v>3806</v>
      </c>
      <c r="AF133" s="418" t="s">
        <v>3806</v>
      </c>
      <c r="AG133" s="418" t="s">
        <v>3806</v>
      </c>
      <c r="AH133" s="418" t="s">
        <v>3806</v>
      </c>
      <c r="AI133" s="418" t="s">
        <v>3806</v>
      </c>
      <c r="AJ133" s="418" t="s">
        <v>3806</v>
      </c>
      <c r="AK133" s="339" t="s">
        <v>3154</v>
      </c>
      <c r="AL133" s="339"/>
      <c r="AM133" s="339" t="s">
        <v>3154</v>
      </c>
      <c r="AN133" s="339" t="s">
        <v>3154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2940</v>
      </c>
      <c r="BE133" s="339" t="s">
        <v>2940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3793</v>
      </c>
      <c r="B134" s="104" t="s">
        <v>3107</v>
      </c>
      <c r="C134" s="122" t="s">
        <v>3106</v>
      </c>
      <c r="D134" s="292">
        <v>4327504</v>
      </c>
      <c r="E134" s="292" t="s">
        <v>2931</v>
      </c>
      <c r="F134" s="292" t="s">
        <v>20</v>
      </c>
      <c r="G134" s="292" t="s">
        <v>2931</v>
      </c>
      <c r="H134" s="292" t="str">
        <f>IFERROR(VLOOKUP(G134,'Cadastro de assessores'!A:B,2,FALSE),"Não Cadastrado")</f>
        <v>18986</v>
      </c>
      <c r="I134" s="292"/>
      <c r="J134" s="24" t="s">
        <v>125</v>
      </c>
      <c r="K134" s="292" t="s">
        <v>3802</v>
      </c>
      <c r="L134" s="387">
        <v>44043</v>
      </c>
      <c r="M134" s="387">
        <v>44043</v>
      </c>
      <c r="N134" s="387">
        <v>44085</v>
      </c>
      <c r="O134" s="292" t="s">
        <v>3803</v>
      </c>
      <c r="P134" s="388">
        <v>1.4999999999999999E-2</v>
      </c>
      <c r="Q134" s="420" t="s">
        <v>4237</v>
      </c>
      <c r="R134" s="417"/>
      <c r="S134" s="292" t="str">
        <f t="shared" si="11"/>
        <v>Não Qualificado</v>
      </c>
      <c r="T134" s="292" t="s">
        <v>127</v>
      </c>
      <c r="U134" s="292" t="s">
        <v>3975</v>
      </c>
      <c r="V134" s="292" t="s">
        <v>66</v>
      </c>
      <c r="W134" s="418" t="s">
        <v>3806</v>
      </c>
      <c r="X134" s="418" t="s">
        <v>3806</v>
      </c>
      <c r="Y134" s="418" t="s">
        <v>3806</v>
      </c>
      <c r="Z134" s="418" t="s">
        <v>3806</v>
      </c>
      <c r="AA134" s="418" t="s">
        <v>3806</v>
      </c>
      <c r="AB134" s="418" t="s">
        <v>3806</v>
      </c>
      <c r="AC134" s="418" t="s">
        <v>3806</v>
      </c>
      <c r="AD134" s="418" t="s">
        <v>3806</v>
      </c>
      <c r="AE134" s="418" t="s">
        <v>3806</v>
      </c>
      <c r="AF134" s="418" t="s">
        <v>4238</v>
      </c>
      <c r="AG134" s="418" t="s">
        <v>4239</v>
      </c>
      <c r="AH134" s="418"/>
      <c r="AI134" s="418"/>
      <c r="AJ134" s="418"/>
      <c r="AK134" s="339" t="s">
        <v>3154</v>
      </c>
      <c r="AL134" s="339">
        <v>492751.44</v>
      </c>
      <c r="AM134" s="339" t="s">
        <v>3154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2940</v>
      </c>
      <c r="BE134" s="339" t="s">
        <v>2940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3793</v>
      </c>
      <c r="B135" s="104" t="s">
        <v>4240</v>
      </c>
      <c r="C135" s="390" t="s">
        <v>4241</v>
      </c>
      <c r="D135" s="292">
        <v>6489178</v>
      </c>
      <c r="E135" s="292" t="s">
        <v>19</v>
      </c>
      <c r="F135" s="292" t="s">
        <v>66</v>
      </c>
      <c r="G135" s="292" t="s">
        <v>4142</v>
      </c>
      <c r="H135" s="292" t="str">
        <f>IFERROR(VLOOKUP(G135,'Cadastro de assessores'!A:B,2,FALSE),"Não Cadastrado")</f>
        <v>14294</v>
      </c>
      <c r="I135" s="292"/>
      <c r="J135" s="24" t="s">
        <v>125</v>
      </c>
      <c r="K135" s="292" t="s">
        <v>3802</v>
      </c>
      <c r="L135" s="387">
        <v>44462</v>
      </c>
      <c r="M135" s="387">
        <v>44462</v>
      </c>
      <c r="N135" s="387">
        <v>44762</v>
      </c>
      <c r="O135" s="292" t="s">
        <v>3803</v>
      </c>
      <c r="P135" s="388">
        <v>1.4999999999999999E-2</v>
      </c>
      <c r="Q135" s="167" t="s">
        <v>4242</v>
      </c>
      <c r="R135" s="417"/>
      <c r="S135" s="292" t="str">
        <f t="shared" si="11"/>
        <v>Não Qualificado</v>
      </c>
      <c r="T135" s="292" t="s">
        <v>127</v>
      </c>
      <c r="U135" s="292" t="s">
        <v>3975</v>
      </c>
      <c r="V135" s="292" t="s">
        <v>66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3793</v>
      </c>
      <c r="B136" s="104" t="s">
        <v>4243</v>
      </c>
      <c r="C136" s="122" t="s">
        <v>4244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3796</v>
      </c>
      <c r="K136" s="292" t="s">
        <v>145</v>
      </c>
      <c r="L136" s="416">
        <v>44194</v>
      </c>
      <c r="M136" s="416">
        <v>44194</v>
      </c>
      <c r="N136" s="292"/>
      <c r="O136" s="292" t="s">
        <v>3803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127</v>
      </c>
      <c r="U136" s="292" t="s">
        <v>3824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3806</v>
      </c>
      <c r="AJ136" s="418"/>
      <c r="AK136" s="339" t="s">
        <v>3154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3793</v>
      </c>
      <c r="B137" s="104" t="s">
        <v>4245</v>
      </c>
      <c r="C137" s="122" t="s">
        <v>4246</v>
      </c>
      <c r="D137" s="292">
        <v>4422652</v>
      </c>
      <c r="E137" s="293" t="s">
        <v>19</v>
      </c>
      <c r="F137" s="293" t="s">
        <v>20</v>
      </c>
      <c r="G137" s="293" t="s">
        <v>3801</v>
      </c>
      <c r="H137" s="293" t="str">
        <f>IFERROR(VLOOKUP(G137,'Cadastro de assessores'!A:B,2,FALSE),"Não Cadastrado")</f>
        <v>17679</v>
      </c>
      <c r="I137" s="293"/>
      <c r="J137" s="24" t="s">
        <v>3796</v>
      </c>
      <c r="K137" s="292" t="s">
        <v>145</v>
      </c>
      <c r="L137" s="415">
        <v>44071</v>
      </c>
      <c r="M137" s="415">
        <v>44075</v>
      </c>
      <c r="N137" s="292"/>
      <c r="O137" s="292" t="s">
        <v>3803</v>
      </c>
      <c r="P137" s="428">
        <v>1.4E-2</v>
      </c>
      <c r="Q137" s="420" t="s">
        <v>4247</v>
      </c>
      <c r="R137" s="417"/>
      <c r="S137" s="292" t="str">
        <f t="shared" si="11"/>
        <v>Não Qualificado</v>
      </c>
      <c r="T137" s="292" t="s">
        <v>127</v>
      </c>
      <c r="U137" s="292" t="s">
        <v>4047</v>
      </c>
      <c r="V137" s="292" t="s">
        <v>575</v>
      </c>
      <c r="W137" s="418" t="s">
        <v>3806</v>
      </c>
      <c r="X137" s="418" t="s">
        <v>3806</v>
      </c>
      <c r="Y137" s="418" t="s">
        <v>3806</v>
      </c>
      <c r="Z137" s="418" t="s">
        <v>3806</v>
      </c>
      <c r="AA137" s="418" t="s">
        <v>3806</v>
      </c>
      <c r="AB137" s="418" t="s">
        <v>3806</v>
      </c>
      <c r="AC137" s="418" t="s">
        <v>3806</v>
      </c>
      <c r="AD137" s="418" t="s">
        <v>3806</v>
      </c>
      <c r="AE137" s="418" t="s">
        <v>3806</v>
      </c>
      <c r="AF137" s="418" t="s">
        <v>3806</v>
      </c>
      <c r="AG137" s="418" t="s">
        <v>4248</v>
      </c>
      <c r="AH137" s="418" t="s">
        <v>4249</v>
      </c>
      <c r="AI137" s="418" t="s">
        <v>4250</v>
      </c>
      <c r="AJ137" s="418" t="s">
        <v>4251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3793</v>
      </c>
      <c r="B138" s="104" t="s">
        <v>898</v>
      </c>
      <c r="C138" s="390" t="s">
        <v>895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3796</v>
      </c>
      <c r="K138" s="293" t="s">
        <v>134</v>
      </c>
      <c r="L138" s="423">
        <v>44638</v>
      </c>
      <c r="M138" s="423">
        <v>44657</v>
      </c>
      <c r="N138" s="297"/>
      <c r="O138" s="297" t="s">
        <v>4252</v>
      </c>
      <c r="P138" s="388">
        <v>0.01</v>
      </c>
      <c r="Q138" s="420" t="s">
        <v>4253</v>
      </c>
      <c r="R138" s="417"/>
      <c r="S138" s="292" t="str">
        <f t="shared" si="11"/>
        <v>Não Qualificado</v>
      </c>
      <c r="T138" s="292" t="s">
        <v>127</v>
      </c>
      <c r="U138" s="292" t="s">
        <v>3937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2940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3793</v>
      </c>
      <c r="B139" s="104" t="s">
        <v>898</v>
      </c>
      <c r="C139" s="122" t="s">
        <v>895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3796</v>
      </c>
      <c r="K139" s="293" t="s">
        <v>134</v>
      </c>
      <c r="L139" s="415">
        <v>44106</v>
      </c>
      <c r="M139" s="415">
        <v>44106</v>
      </c>
      <c r="N139" s="299"/>
      <c r="O139" s="299" t="s">
        <v>3810</v>
      </c>
      <c r="P139" s="388">
        <v>7.0000000000000001E-3</v>
      </c>
      <c r="Q139" s="420" t="s">
        <v>4254</v>
      </c>
      <c r="R139" s="417"/>
      <c r="S139" s="292" t="str">
        <f t="shared" si="11"/>
        <v>Não Qualificado</v>
      </c>
      <c r="T139" s="292" t="s">
        <v>127</v>
      </c>
      <c r="U139" s="292" t="s">
        <v>3937</v>
      </c>
      <c r="V139" s="292" t="s">
        <v>20</v>
      </c>
      <c r="W139" s="418" t="s">
        <v>3806</v>
      </c>
      <c r="X139" s="418" t="s">
        <v>3806</v>
      </c>
      <c r="Y139" s="418" t="s">
        <v>3806</v>
      </c>
      <c r="Z139" s="418" t="s">
        <v>3806</v>
      </c>
      <c r="AA139" s="418" t="s">
        <v>3806</v>
      </c>
      <c r="AB139" s="418" t="s">
        <v>3806</v>
      </c>
      <c r="AC139" s="418" t="s">
        <v>3806</v>
      </c>
      <c r="AD139" s="418" t="s">
        <v>3806</v>
      </c>
      <c r="AE139" s="418" t="s">
        <v>3806</v>
      </c>
      <c r="AF139" s="418" t="s">
        <v>3806</v>
      </c>
      <c r="AG139" s="418" t="s">
        <v>3806</v>
      </c>
      <c r="AH139" s="418" t="s">
        <v>3806</v>
      </c>
      <c r="AI139" s="418" t="s">
        <v>4255</v>
      </c>
      <c r="AJ139" s="418" t="s">
        <v>4256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3793</v>
      </c>
      <c r="B140" s="104" t="s">
        <v>898</v>
      </c>
      <c r="C140" s="122" t="s">
        <v>895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3796</v>
      </c>
      <c r="K140" s="293" t="s">
        <v>134</v>
      </c>
      <c r="L140" s="415">
        <v>44578</v>
      </c>
      <c r="M140" s="415">
        <v>44578</v>
      </c>
      <c r="N140" s="299"/>
      <c r="O140" s="299" t="s">
        <v>3810</v>
      </c>
      <c r="P140" s="388">
        <v>0.01</v>
      </c>
      <c r="Q140" s="420" t="s">
        <v>4257</v>
      </c>
      <c r="R140" s="417"/>
      <c r="S140" s="292" t="str">
        <f t="shared" si="11"/>
        <v/>
      </c>
      <c r="T140" s="292" t="s">
        <v>127</v>
      </c>
      <c r="U140" s="292" t="s">
        <v>3937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3793</v>
      </c>
      <c r="B141" s="104" t="s">
        <v>898</v>
      </c>
      <c r="C141" s="122" t="s">
        <v>895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3796</v>
      </c>
      <c r="K141" s="293" t="s">
        <v>134</v>
      </c>
      <c r="L141" s="415">
        <v>44614</v>
      </c>
      <c r="M141" s="415">
        <v>44614</v>
      </c>
      <c r="N141" s="426"/>
      <c r="O141" s="426" t="s">
        <v>3810</v>
      </c>
      <c r="P141" s="388">
        <v>7.0000000000000001E-3</v>
      </c>
      <c r="Q141" s="167" t="s">
        <v>4258</v>
      </c>
      <c r="R141" s="417"/>
      <c r="S141" s="292" t="str">
        <f t="shared" si="11"/>
        <v>Não Qualificado</v>
      </c>
      <c r="T141" s="292" t="s">
        <v>127</v>
      </c>
      <c r="U141" s="292" t="s">
        <v>3937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3793</v>
      </c>
      <c r="B142" s="104" t="s">
        <v>898</v>
      </c>
      <c r="C142" s="122" t="s">
        <v>895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134</v>
      </c>
      <c r="K142" s="293" t="s">
        <v>134</v>
      </c>
      <c r="L142" s="423">
        <v>44504</v>
      </c>
      <c r="M142" s="423">
        <v>44508</v>
      </c>
      <c r="N142" s="299"/>
      <c r="O142" s="299" t="s">
        <v>3817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127</v>
      </c>
      <c r="U142" s="292" t="s">
        <v>3937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3793</v>
      </c>
      <c r="B143" s="104" t="s">
        <v>922</v>
      </c>
      <c r="C143" s="122" t="s">
        <v>919</v>
      </c>
      <c r="D143" s="292">
        <v>8853992</v>
      </c>
      <c r="E143" s="292" t="s">
        <v>19</v>
      </c>
      <c r="F143" s="292" t="s">
        <v>66</v>
      </c>
      <c r="G143" s="292" t="s">
        <v>67</v>
      </c>
      <c r="H143" s="293" t="str">
        <f>IFERROR(VLOOKUP(G143,'Cadastro de assessores'!A:B,2,FALSE),"Não Cadastrado")</f>
        <v>18890</v>
      </c>
      <c r="I143" s="292"/>
      <c r="J143" s="24" t="s">
        <v>3796</v>
      </c>
      <c r="K143" s="292"/>
      <c r="L143" s="387"/>
      <c r="M143" s="387">
        <v>44847</v>
      </c>
      <c r="N143" s="391"/>
      <c r="O143" s="299" t="s">
        <v>3810</v>
      </c>
      <c r="P143" s="388">
        <v>0.01</v>
      </c>
      <c r="Q143" s="420" t="s">
        <v>3916</v>
      </c>
      <c r="R143" s="417"/>
      <c r="S143" s="292"/>
      <c r="T143" s="292"/>
      <c r="U143" s="292"/>
      <c r="V143" s="292" t="s">
        <v>523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3793</v>
      </c>
      <c r="B144" s="104" t="s">
        <v>4259</v>
      </c>
      <c r="C144" s="122" t="s">
        <v>4260</v>
      </c>
      <c r="D144" s="292">
        <v>4706119</v>
      </c>
      <c r="E144" s="292" t="s">
        <v>19</v>
      </c>
      <c r="F144" s="292" t="s">
        <v>20</v>
      </c>
      <c r="G144" s="292" t="s">
        <v>3801</v>
      </c>
      <c r="H144" s="292" t="str">
        <f>IFERROR(VLOOKUP(G144,'Cadastro de assessores'!A:B,2,FALSE),"Não Cadastrado")</f>
        <v>17679</v>
      </c>
      <c r="I144" s="292"/>
      <c r="J144" s="24" t="s">
        <v>125</v>
      </c>
      <c r="K144" s="292" t="s">
        <v>3802</v>
      </c>
      <c r="L144" s="387">
        <v>44203</v>
      </c>
      <c r="M144" s="387">
        <v>44203</v>
      </c>
      <c r="N144" s="391">
        <v>44450</v>
      </c>
      <c r="O144" s="299" t="s">
        <v>3850</v>
      </c>
      <c r="P144" s="388">
        <v>8.0000000000000002E-3</v>
      </c>
      <c r="Q144" s="420" t="s">
        <v>4261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127</v>
      </c>
      <c r="U144" s="292" t="s">
        <v>4057</v>
      </c>
      <c r="V144" s="292" t="s">
        <v>878</v>
      </c>
      <c r="W144" s="418" t="s">
        <v>3806</v>
      </c>
      <c r="X144" s="418" t="s">
        <v>3806</v>
      </c>
      <c r="Y144" s="418" t="s">
        <v>3806</v>
      </c>
      <c r="Z144" s="418" t="s">
        <v>3806</v>
      </c>
      <c r="AA144" s="418" t="s">
        <v>3806</v>
      </c>
      <c r="AB144" s="418" t="s">
        <v>3806</v>
      </c>
      <c r="AC144" s="418" t="s">
        <v>3806</v>
      </c>
      <c r="AD144" s="418" t="s">
        <v>3806</v>
      </c>
      <c r="AE144" s="418" t="s">
        <v>3806</v>
      </c>
      <c r="AF144" s="418" t="s">
        <v>3806</v>
      </c>
      <c r="AG144" s="418" t="s">
        <v>3806</v>
      </c>
      <c r="AH144" s="418" t="s">
        <v>3806</v>
      </c>
      <c r="AI144" s="418" t="s">
        <v>3806</v>
      </c>
      <c r="AJ144" s="418" t="s">
        <v>3806</v>
      </c>
      <c r="AK144" s="339" t="s">
        <v>3154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2940</v>
      </c>
      <c r="BE144" s="339" t="s">
        <v>2940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3793</v>
      </c>
      <c r="B145" s="104" t="s">
        <v>4259</v>
      </c>
      <c r="C145" s="122" t="s">
        <v>4260</v>
      </c>
      <c r="D145" s="292">
        <v>4728915</v>
      </c>
      <c r="E145" s="292" t="s">
        <v>19</v>
      </c>
      <c r="F145" s="292" t="s">
        <v>20</v>
      </c>
      <c r="G145" s="292" t="s">
        <v>3801</v>
      </c>
      <c r="H145" s="292" t="str">
        <f>IFERROR(VLOOKUP(G145,'Cadastro de assessores'!A:B,2,FALSE),"Não Cadastrado")</f>
        <v>17679</v>
      </c>
      <c r="I145" s="292"/>
      <c r="J145" s="24" t="s">
        <v>125</v>
      </c>
      <c r="K145" s="292" t="s">
        <v>3802</v>
      </c>
      <c r="L145" s="387">
        <v>44203</v>
      </c>
      <c r="M145" s="387">
        <v>44203</v>
      </c>
      <c r="N145" s="391">
        <v>44450</v>
      </c>
      <c r="O145" s="292" t="s">
        <v>3803</v>
      </c>
      <c r="P145" s="388">
        <v>1.4999999999999999E-2</v>
      </c>
      <c r="Q145" s="420" t="s">
        <v>4261</v>
      </c>
      <c r="R145" s="417"/>
      <c r="S145" s="292" t="str">
        <f t="shared" si="12"/>
        <v>Não Qualificado</v>
      </c>
      <c r="T145" s="292" t="s">
        <v>127</v>
      </c>
      <c r="U145" s="292" t="s">
        <v>4057</v>
      </c>
      <c r="V145" s="292" t="s">
        <v>878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2940</v>
      </c>
      <c r="BE145" s="339" t="s">
        <v>2940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3793</v>
      </c>
      <c r="B146" s="104" t="s">
        <v>4262</v>
      </c>
      <c r="C146" s="122" t="s">
        <v>4263</v>
      </c>
      <c r="D146" s="292">
        <v>3221916</v>
      </c>
      <c r="E146" s="293" t="s">
        <v>19</v>
      </c>
      <c r="F146" s="293" t="s">
        <v>20</v>
      </c>
      <c r="G146" s="293" t="s">
        <v>3801</v>
      </c>
      <c r="H146" s="293" t="str">
        <f>IFERROR(VLOOKUP(G146,'Cadastro de assessores'!A:B,2,FALSE),"Não Cadastrado")</f>
        <v>17679</v>
      </c>
      <c r="I146" s="293"/>
      <c r="J146" s="24" t="s">
        <v>3796</v>
      </c>
      <c r="K146" s="292" t="s">
        <v>145</v>
      </c>
      <c r="L146" s="292" t="s">
        <v>3154</v>
      </c>
      <c r="M146" s="436" t="s">
        <v>3644</v>
      </c>
      <c r="N146" s="292"/>
      <c r="O146" s="292" t="s">
        <v>3803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127</v>
      </c>
      <c r="U146" s="292" t="s">
        <v>4231</v>
      </c>
      <c r="V146" s="292" t="s">
        <v>3653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3154</v>
      </c>
      <c r="AN146" s="339" t="s">
        <v>3154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2940</v>
      </c>
      <c r="BE146" s="339" t="s">
        <v>2940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3793</v>
      </c>
      <c r="B147" s="104" t="s">
        <v>4264</v>
      </c>
      <c r="C147" s="122" t="s">
        <v>4265</v>
      </c>
      <c r="D147" s="292">
        <v>4668132</v>
      </c>
      <c r="E147" s="292" t="s">
        <v>19</v>
      </c>
      <c r="F147" s="292" t="s">
        <v>20</v>
      </c>
      <c r="G147" s="292" t="s">
        <v>3801</v>
      </c>
      <c r="H147" s="292" t="str">
        <f>IFERROR(VLOOKUP(G147,'Cadastro de assessores'!A:B,2,FALSE),"Não Cadastrado")</f>
        <v>17679</v>
      </c>
      <c r="I147" s="292"/>
      <c r="J147" s="24" t="s">
        <v>125</v>
      </c>
      <c r="K147" s="292" t="s">
        <v>3802</v>
      </c>
      <c r="L147" s="387">
        <v>44202</v>
      </c>
      <c r="M147" s="387">
        <v>44202</v>
      </c>
      <c r="N147" s="387">
        <v>44453</v>
      </c>
      <c r="O147" s="292" t="s">
        <v>3803</v>
      </c>
      <c r="P147" s="388">
        <v>1.4999999999999999E-2</v>
      </c>
      <c r="Q147" s="420" t="s">
        <v>4266</v>
      </c>
      <c r="R147" s="417"/>
      <c r="S147" s="292" t="str">
        <f t="shared" si="12"/>
        <v>Não Qualificado</v>
      </c>
      <c r="T147" s="292" t="s">
        <v>127</v>
      </c>
      <c r="U147" s="292" t="s">
        <v>4231</v>
      </c>
      <c r="V147" s="292" t="s">
        <v>3653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2940</v>
      </c>
      <c r="BE147" s="339" t="s">
        <v>2940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3793</v>
      </c>
      <c r="B148" s="104" t="s">
        <v>4267</v>
      </c>
      <c r="C148" s="122" t="s">
        <v>4268</v>
      </c>
      <c r="D148" s="292">
        <v>4403283</v>
      </c>
      <c r="E148" s="292" t="s">
        <v>46</v>
      </c>
      <c r="F148" s="292" t="s">
        <v>20</v>
      </c>
      <c r="G148" s="292" t="s">
        <v>3861</v>
      </c>
      <c r="H148" s="292" t="str">
        <f>IFERROR(VLOOKUP(G148,'Cadastro de assessores'!A:B,2,FALSE),"Não Cadastrado")</f>
        <v>1441</v>
      </c>
      <c r="I148" s="292"/>
      <c r="J148" s="24" t="s">
        <v>125</v>
      </c>
      <c r="K148" s="292" t="s">
        <v>3802</v>
      </c>
      <c r="L148" s="387">
        <v>44075</v>
      </c>
      <c r="M148" s="387">
        <v>44075</v>
      </c>
      <c r="N148" s="391">
        <v>44537</v>
      </c>
      <c r="O148" s="299" t="s">
        <v>3797</v>
      </c>
      <c r="P148" s="388">
        <v>0.02</v>
      </c>
      <c r="Q148" s="420" t="s">
        <v>4269</v>
      </c>
      <c r="R148" s="417"/>
      <c r="S148" s="292" t="str">
        <f t="shared" si="12"/>
        <v/>
      </c>
      <c r="T148" s="292" t="s">
        <v>127</v>
      </c>
      <c r="U148" s="292" t="s">
        <v>4102</v>
      </c>
      <c r="V148" s="292" t="s">
        <v>48</v>
      </c>
      <c r="W148" s="418" t="s">
        <v>3806</v>
      </c>
      <c r="X148" s="418" t="s">
        <v>3806</v>
      </c>
      <c r="Y148" s="418" t="s">
        <v>3806</v>
      </c>
      <c r="Z148" s="418" t="s">
        <v>3806</v>
      </c>
      <c r="AA148" s="418" t="s">
        <v>3806</v>
      </c>
      <c r="AB148" s="418" t="s">
        <v>3806</v>
      </c>
      <c r="AC148" s="418" t="s">
        <v>3806</v>
      </c>
      <c r="AD148" s="418" t="s">
        <v>3806</v>
      </c>
      <c r="AE148" s="418" t="s">
        <v>3806</v>
      </c>
      <c r="AF148" s="418" t="s">
        <v>3806</v>
      </c>
      <c r="AG148" s="418" t="s">
        <v>4270</v>
      </c>
      <c r="AH148" s="418" t="s">
        <v>4271</v>
      </c>
      <c r="AI148" s="418" t="s">
        <v>4272</v>
      </c>
      <c r="AJ148" s="418" t="s">
        <v>4273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2940</v>
      </c>
      <c r="BE148" s="339" t="s">
        <v>2940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3793</v>
      </c>
      <c r="B149" s="104" t="s">
        <v>950</v>
      </c>
      <c r="C149" s="390" t="s">
        <v>4274</v>
      </c>
      <c r="D149" s="299">
        <v>5183783</v>
      </c>
      <c r="E149" s="293" t="s">
        <v>46</v>
      </c>
      <c r="F149" s="293" t="s">
        <v>20</v>
      </c>
      <c r="G149" s="293" t="s">
        <v>4275</v>
      </c>
      <c r="H149" s="293">
        <f>IFERROR(VLOOKUP(G149,'Cadastro de assessores'!A:B,2,FALSE),"Não Cadastrado")</f>
        <v>12330</v>
      </c>
      <c r="I149" s="293"/>
      <c r="J149" s="24" t="s">
        <v>3796</v>
      </c>
      <c r="K149" s="293" t="s">
        <v>134</v>
      </c>
      <c r="L149" s="423">
        <v>44701</v>
      </c>
      <c r="M149" s="423">
        <v>44701</v>
      </c>
      <c r="N149" s="299"/>
      <c r="O149" s="299" t="s">
        <v>3810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127</v>
      </c>
      <c r="U149" s="292" t="s">
        <v>3819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3793</v>
      </c>
      <c r="B150" s="104" t="s">
        <v>971</v>
      </c>
      <c r="C150" s="441" t="s">
        <v>968</v>
      </c>
      <c r="D150" s="422">
        <v>3714503</v>
      </c>
      <c r="E150" s="293" t="s">
        <v>19</v>
      </c>
      <c r="F150" s="293" t="s">
        <v>66</v>
      </c>
      <c r="G150" s="293" t="s">
        <v>144</v>
      </c>
      <c r="H150" s="293">
        <f>IFERROR(VLOOKUP(G150,'Cadastro de assessores'!A:B,2,FALSE),"Não Cadastrado")</f>
        <v>12331</v>
      </c>
      <c r="I150" s="293"/>
      <c r="J150" s="24" t="s">
        <v>3796</v>
      </c>
      <c r="K150" s="293" t="s">
        <v>134</v>
      </c>
      <c r="L150" s="423">
        <v>44614</v>
      </c>
      <c r="M150" s="423">
        <v>44614</v>
      </c>
      <c r="N150" s="299"/>
      <c r="O150" s="299" t="s">
        <v>3810</v>
      </c>
      <c r="P150" s="388">
        <v>7.0000000000000001E-3</v>
      </c>
      <c r="Q150" s="304" t="s">
        <v>4276</v>
      </c>
      <c r="R150" s="417"/>
      <c r="S150" s="292" t="str">
        <f t="shared" si="12"/>
        <v>Não Qualificado</v>
      </c>
      <c r="T150" s="292" t="s">
        <v>127</v>
      </c>
      <c r="U150" s="292" t="s">
        <v>4277</v>
      </c>
      <c r="V150" s="292" t="s">
        <v>972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3793</v>
      </c>
      <c r="B151" s="104" t="s">
        <v>4278</v>
      </c>
      <c r="C151" s="390" t="s">
        <v>4279</v>
      </c>
      <c r="D151" s="299">
        <v>6121090</v>
      </c>
      <c r="E151" s="292" t="s">
        <v>19</v>
      </c>
      <c r="F151" s="292" t="s">
        <v>66</v>
      </c>
      <c r="G151" s="292" t="s">
        <v>316</v>
      </c>
      <c r="H151" s="292" t="str">
        <f>IFERROR(VLOOKUP(G151,'Cadastro de assessores'!A:B,2,FALSE),"Não Cadastrado")</f>
        <v>18009</v>
      </c>
      <c r="I151" s="292"/>
      <c r="J151" s="24" t="s">
        <v>125</v>
      </c>
      <c r="K151" s="292" t="s">
        <v>3802</v>
      </c>
      <c r="L151" s="387"/>
      <c r="M151" s="387">
        <v>44421</v>
      </c>
      <c r="N151" s="387">
        <v>44685</v>
      </c>
      <c r="O151" s="292" t="s">
        <v>3797</v>
      </c>
      <c r="P151" s="388">
        <v>0.02</v>
      </c>
      <c r="Q151" s="167" t="s">
        <v>4280</v>
      </c>
      <c r="R151" s="417"/>
      <c r="S151" s="292" t="str">
        <f t="shared" si="12"/>
        <v>Não Qualificado</v>
      </c>
      <c r="T151" s="292" t="s">
        <v>127</v>
      </c>
      <c r="U151" s="299" t="s">
        <v>4281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2940</v>
      </c>
      <c r="BE151" s="339" t="s">
        <v>2940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3793</v>
      </c>
      <c r="B152" s="104" t="s">
        <v>981</v>
      </c>
      <c r="C152" s="390" t="s">
        <v>979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3796</v>
      </c>
      <c r="K152" s="293" t="s">
        <v>134</v>
      </c>
      <c r="L152" s="423">
        <v>44649</v>
      </c>
      <c r="M152" s="423">
        <v>44655</v>
      </c>
      <c r="N152" s="299"/>
      <c r="O152" s="299" t="s">
        <v>3810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127</v>
      </c>
      <c r="U152" s="292" t="s">
        <v>3824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3793</v>
      </c>
      <c r="B153" s="104" t="s">
        <v>4282</v>
      </c>
      <c r="C153" s="390" t="s">
        <v>4283</v>
      </c>
      <c r="D153" s="299">
        <v>0</v>
      </c>
      <c r="E153" s="292" t="s">
        <v>19</v>
      </c>
      <c r="F153" s="292" t="s">
        <v>66</v>
      </c>
      <c r="G153" s="292" t="s">
        <v>316</v>
      </c>
      <c r="H153" s="292" t="str">
        <f>IFERROR(VLOOKUP(G153,'Cadastro de assessores'!A:B,2,FALSE),"Não Cadastrado")</f>
        <v>18009</v>
      </c>
      <c r="I153" s="292"/>
      <c r="J153" s="24" t="s">
        <v>125</v>
      </c>
      <c r="K153" s="292" t="s">
        <v>3802</v>
      </c>
      <c r="L153" s="387">
        <v>44300</v>
      </c>
      <c r="M153" s="387">
        <v>44300</v>
      </c>
      <c r="N153" s="387">
        <v>44651</v>
      </c>
      <c r="O153" s="292" t="s">
        <v>3803</v>
      </c>
      <c r="P153" s="388">
        <v>1.2E-2</v>
      </c>
      <c r="Q153" s="420" t="s">
        <v>4284</v>
      </c>
      <c r="R153" s="417"/>
      <c r="S153" s="292" t="str">
        <f t="shared" si="12"/>
        <v>Não Qualificado</v>
      </c>
      <c r="T153" s="292" t="s">
        <v>127</v>
      </c>
      <c r="U153" s="292" t="s">
        <v>3854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2940</v>
      </c>
      <c r="BE153" s="339" t="s">
        <v>2940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3793</v>
      </c>
      <c r="B154" s="104" t="s">
        <v>992</v>
      </c>
      <c r="C154" s="390" t="s">
        <v>4285</v>
      </c>
      <c r="D154" s="299">
        <v>3561110</v>
      </c>
      <c r="E154" s="293" t="s">
        <v>19</v>
      </c>
      <c r="F154" s="293" t="s">
        <v>20</v>
      </c>
      <c r="G154" s="299" t="s">
        <v>935</v>
      </c>
      <c r="H154" s="299">
        <f>IFERROR(VLOOKUP(G154,'Cadastro de assessores'!A:B,2,FALSE),"Não Cadastrado")</f>
        <v>12342</v>
      </c>
      <c r="I154" s="299"/>
      <c r="J154" s="24" t="s">
        <v>3796</v>
      </c>
      <c r="K154" s="293" t="s">
        <v>134</v>
      </c>
      <c r="L154" s="423">
        <v>44656</v>
      </c>
      <c r="M154" s="423">
        <v>44658</v>
      </c>
      <c r="N154" s="299"/>
      <c r="O154" s="299" t="s">
        <v>3810</v>
      </c>
      <c r="P154" s="388">
        <v>7.0000000000000001E-3</v>
      </c>
      <c r="Q154" s="167" t="s">
        <v>4286</v>
      </c>
      <c r="R154" s="417"/>
      <c r="S154" s="292" t="str">
        <f t="shared" si="12"/>
        <v>Não Qualificado</v>
      </c>
      <c r="T154" s="292" t="s">
        <v>127</v>
      </c>
      <c r="U154" s="299" t="s">
        <v>3824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3793</v>
      </c>
      <c r="B155" s="104" t="s">
        <v>4287</v>
      </c>
      <c r="C155" s="122" t="s">
        <v>4288</v>
      </c>
      <c r="D155" s="292">
        <v>4403399</v>
      </c>
      <c r="E155" s="292" t="s">
        <v>46</v>
      </c>
      <c r="F155" s="292" t="s">
        <v>20</v>
      </c>
      <c r="G155" s="292" t="s">
        <v>4075</v>
      </c>
      <c r="H155" s="292" t="str">
        <f>IFERROR(VLOOKUP(G155,'Cadastro de assessores'!A:B,2,FALSE),"Não Cadastrado")</f>
        <v>15049</v>
      </c>
      <c r="I155" s="292"/>
      <c r="J155" s="24" t="s">
        <v>125</v>
      </c>
      <c r="K155" s="292" t="s">
        <v>3802</v>
      </c>
      <c r="L155" s="387">
        <v>44074</v>
      </c>
      <c r="M155" s="387">
        <v>44074</v>
      </c>
      <c r="N155" s="387">
        <v>44627</v>
      </c>
      <c r="O155" s="292" t="s">
        <v>3813</v>
      </c>
      <c r="P155" s="388">
        <v>1.2E-2</v>
      </c>
      <c r="Q155" s="420" t="s">
        <v>4289</v>
      </c>
      <c r="R155" s="417"/>
      <c r="S155" s="292" t="str">
        <f t="shared" si="12"/>
        <v>Não Qualificado</v>
      </c>
      <c r="T155" s="292" t="s">
        <v>127</v>
      </c>
      <c r="U155" s="292" t="s">
        <v>4217</v>
      </c>
      <c r="V155" s="292" t="s">
        <v>20</v>
      </c>
      <c r="W155" s="418" t="s">
        <v>3806</v>
      </c>
      <c r="X155" s="418" t="s">
        <v>3806</v>
      </c>
      <c r="Y155" s="418" t="s">
        <v>3806</v>
      </c>
      <c r="Z155" s="418" t="s">
        <v>3806</v>
      </c>
      <c r="AA155" s="418" t="s">
        <v>3806</v>
      </c>
      <c r="AB155" s="418" t="s">
        <v>3806</v>
      </c>
      <c r="AC155" s="418" t="s">
        <v>3806</v>
      </c>
      <c r="AD155" s="418" t="s">
        <v>3806</v>
      </c>
      <c r="AE155" s="418" t="s">
        <v>3806</v>
      </c>
      <c r="AF155" s="418" t="s">
        <v>3806</v>
      </c>
      <c r="AG155" s="418" t="s">
        <v>4290</v>
      </c>
      <c r="AH155" s="418" t="s">
        <v>4291</v>
      </c>
      <c r="AI155" s="418" t="s">
        <v>4292</v>
      </c>
      <c r="AJ155" s="418" t="s">
        <v>4293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2940</v>
      </c>
      <c r="BE155" s="339" t="s">
        <v>2940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3793</v>
      </c>
      <c r="B156" s="104" t="s">
        <v>4294</v>
      </c>
      <c r="C156" s="390" t="s">
        <v>4295</v>
      </c>
      <c r="D156" s="299">
        <v>5599659</v>
      </c>
      <c r="E156" s="293" t="s">
        <v>46</v>
      </c>
      <c r="F156" s="293" t="s">
        <v>20</v>
      </c>
      <c r="G156" s="299" t="s">
        <v>2810</v>
      </c>
      <c r="H156" s="299">
        <f>IFERROR(VLOOKUP(G156,'Cadastro de assessores'!A:B,2,FALSE),"Não Cadastrado")</f>
        <v>12347</v>
      </c>
      <c r="I156" s="299"/>
      <c r="J156" s="24" t="s">
        <v>3796</v>
      </c>
      <c r="K156" s="293" t="s">
        <v>134</v>
      </c>
      <c r="L156" s="415">
        <v>44341</v>
      </c>
      <c r="M156" s="415">
        <v>44344</v>
      </c>
      <c r="N156" s="299"/>
      <c r="O156" s="299" t="s">
        <v>3810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127</v>
      </c>
      <c r="U156" s="299" t="s">
        <v>3819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3793</v>
      </c>
      <c r="B157" s="104" t="s">
        <v>4296</v>
      </c>
      <c r="C157" s="122" t="s">
        <v>4297</v>
      </c>
      <c r="D157" s="292">
        <v>4743699</v>
      </c>
      <c r="E157" s="292" t="s">
        <v>46</v>
      </c>
      <c r="F157" s="292" t="s">
        <v>20</v>
      </c>
      <c r="G157" s="292" t="s">
        <v>3640</v>
      </c>
      <c r="H157" s="292" t="str">
        <f>IFERROR(VLOOKUP(G157,'Cadastro de assessores'!A:B,2,FALSE),"Não Cadastrado")</f>
        <v>14574</v>
      </c>
      <c r="I157" s="292"/>
      <c r="J157" s="24" t="s">
        <v>125</v>
      </c>
      <c r="K157" s="292" t="s">
        <v>3802</v>
      </c>
      <c r="L157" s="387">
        <v>44211</v>
      </c>
      <c r="M157" s="387">
        <v>44211</v>
      </c>
      <c r="N157" s="387">
        <v>44803</v>
      </c>
      <c r="O157" s="292" t="s">
        <v>3803</v>
      </c>
      <c r="P157" s="388">
        <v>1.4999999999999999E-2</v>
      </c>
      <c r="Q157" s="420" t="s">
        <v>4298</v>
      </c>
      <c r="R157" s="417"/>
      <c r="S157" s="292" t="str">
        <f t="shared" si="12"/>
        <v/>
      </c>
      <c r="T157" s="292" t="s">
        <v>127</v>
      </c>
      <c r="U157" s="292" t="s">
        <v>3805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3793</v>
      </c>
      <c r="B158" s="104" t="s">
        <v>4299</v>
      </c>
      <c r="C158" s="122" t="s">
        <v>4300</v>
      </c>
      <c r="D158" s="292">
        <v>4695581</v>
      </c>
      <c r="E158" s="293" t="s">
        <v>46</v>
      </c>
      <c r="F158" s="293" t="s">
        <v>20</v>
      </c>
      <c r="G158" s="293" t="s">
        <v>4112</v>
      </c>
      <c r="H158" s="293" t="str">
        <f>IFERROR(VLOOKUP(G158,'Cadastro de assessores'!A:B,2,FALSE),"Não Cadastrado")</f>
        <v>19157</v>
      </c>
      <c r="I158" s="293"/>
      <c r="J158" s="24" t="s">
        <v>3796</v>
      </c>
      <c r="K158" s="293" t="s">
        <v>134</v>
      </c>
      <c r="L158" s="416">
        <v>44186</v>
      </c>
      <c r="M158" s="416">
        <v>44193</v>
      </c>
      <c r="N158" s="299"/>
      <c r="O158" s="299" t="s">
        <v>3797</v>
      </c>
      <c r="P158" s="388">
        <v>0.02</v>
      </c>
      <c r="Q158" s="420"/>
      <c r="R158" s="417"/>
      <c r="S158" s="292" t="str">
        <f t="shared" si="12"/>
        <v/>
      </c>
      <c r="T158" s="292" t="s">
        <v>127</v>
      </c>
      <c r="U158" s="292" t="s">
        <v>4301</v>
      </c>
      <c r="V158" s="292" t="s">
        <v>20</v>
      </c>
      <c r="W158" s="418" t="s">
        <v>3806</v>
      </c>
      <c r="X158" s="418" t="s">
        <v>3806</v>
      </c>
      <c r="Y158" s="418" t="s">
        <v>3806</v>
      </c>
      <c r="Z158" s="418" t="s">
        <v>3806</v>
      </c>
      <c r="AA158" s="418" t="s">
        <v>3806</v>
      </c>
      <c r="AB158" s="418" t="s">
        <v>3806</v>
      </c>
      <c r="AC158" s="418" t="s">
        <v>3806</v>
      </c>
      <c r="AD158" s="418" t="s">
        <v>3806</v>
      </c>
      <c r="AE158" s="418" t="s">
        <v>3806</v>
      </c>
      <c r="AF158" s="418" t="s">
        <v>3806</v>
      </c>
      <c r="AG158" s="418" t="s">
        <v>3806</v>
      </c>
      <c r="AH158" s="418" t="s">
        <v>3806</v>
      </c>
      <c r="AI158" s="418" t="s">
        <v>3806</v>
      </c>
      <c r="AJ158" s="418" t="s">
        <v>3806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3793</v>
      </c>
      <c r="B159" s="104" t="s">
        <v>4302</v>
      </c>
      <c r="C159" s="441" t="s">
        <v>4303</v>
      </c>
      <c r="D159" s="426">
        <v>3274958</v>
      </c>
      <c r="E159" s="293" t="s">
        <v>46</v>
      </c>
      <c r="F159" s="293" t="s">
        <v>20</v>
      </c>
      <c r="G159" s="293" t="s">
        <v>4066</v>
      </c>
      <c r="H159" s="293" t="str">
        <f>IFERROR(VLOOKUP(G159,'Cadastro de assessores'!A:B,2,FALSE),"Não Cadastrado")</f>
        <v>19634</v>
      </c>
      <c r="I159" s="293"/>
      <c r="J159" s="24" t="s">
        <v>3796</v>
      </c>
      <c r="K159" s="293" t="s">
        <v>134</v>
      </c>
      <c r="L159" s="423">
        <v>44714</v>
      </c>
      <c r="M159" s="423">
        <v>44714</v>
      </c>
      <c r="N159" s="299"/>
      <c r="O159" s="299" t="s">
        <v>3810</v>
      </c>
      <c r="P159" s="388">
        <v>7.0000000000000001E-3</v>
      </c>
      <c r="Q159" s="167" t="s">
        <v>4304</v>
      </c>
      <c r="R159" s="417"/>
      <c r="S159" s="292"/>
      <c r="T159" s="292" t="s">
        <v>127</v>
      </c>
      <c r="U159" s="292" t="s">
        <v>3941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2940</v>
      </c>
      <c r="BE159" s="339" t="s">
        <v>2940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3793</v>
      </c>
      <c r="B160" s="104" t="s">
        <v>1014</v>
      </c>
      <c r="C160" s="441" t="s">
        <v>4305</v>
      </c>
      <c r="D160" s="426">
        <v>6986262</v>
      </c>
      <c r="E160" s="293" t="s">
        <v>19</v>
      </c>
      <c r="F160" s="293" t="s">
        <v>66</v>
      </c>
      <c r="G160" s="293" t="s">
        <v>316</v>
      </c>
      <c r="H160" s="293" t="str">
        <f>IFERROR(VLOOKUP(G160,'Cadastro de assessores'!A:B,2,FALSE),"Não Cadastrado")</f>
        <v>18009</v>
      </c>
      <c r="I160" s="293"/>
      <c r="J160" s="24" t="s">
        <v>3796</v>
      </c>
      <c r="K160" s="293" t="s">
        <v>134</v>
      </c>
      <c r="L160" s="415">
        <v>44508</v>
      </c>
      <c r="M160" s="415">
        <v>44503</v>
      </c>
      <c r="N160" s="391">
        <v>45033</v>
      </c>
      <c r="O160" s="299" t="s">
        <v>3850</v>
      </c>
      <c r="P160" s="388">
        <v>8.0000000000000002E-3</v>
      </c>
      <c r="Q160" s="167" t="s">
        <v>4306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127</v>
      </c>
      <c r="U160" s="292" t="s">
        <v>3941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3793</v>
      </c>
      <c r="B161" s="104" t="s">
        <v>4307</v>
      </c>
      <c r="C161" s="122" t="s">
        <v>4308</v>
      </c>
      <c r="D161" s="292">
        <v>395136</v>
      </c>
      <c r="E161" s="292" t="s">
        <v>19</v>
      </c>
      <c r="F161" s="292" t="s">
        <v>20</v>
      </c>
      <c r="G161" s="292" t="s">
        <v>4309</v>
      </c>
      <c r="H161" s="292" t="str">
        <f>IFERROR(VLOOKUP(G161,'Cadastro de assessores'!A:B,2,FALSE),"Não Cadastrado")</f>
        <v>12846</v>
      </c>
      <c r="I161" s="292"/>
      <c r="J161" s="24" t="s">
        <v>125</v>
      </c>
      <c r="K161" s="292" t="s">
        <v>3802</v>
      </c>
      <c r="L161" s="387">
        <v>44260</v>
      </c>
      <c r="M161" s="387">
        <v>44260</v>
      </c>
      <c r="N161" s="387">
        <v>44378</v>
      </c>
      <c r="O161" s="292" t="s">
        <v>3817</v>
      </c>
      <c r="P161" s="388">
        <v>5.0000000000000001E-3</v>
      </c>
      <c r="Q161" s="440" t="s">
        <v>4310</v>
      </c>
      <c r="R161" s="417"/>
      <c r="S161" s="292" t="str">
        <f t="shared" si="13"/>
        <v/>
      </c>
      <c r="T161" s="292" t="s">
        <v>127</v>
      </c>
      <c r="U161" s="292" t="s">
        <v>3840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2940</v>
      </c>
      <c r="BE161" s="339" t="s">
        <v>2940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3793</v>
      </c>
      <c r="B162" s="104" t="s">
        <v>4311</v>
      </c>
      <c r="C162" s="390" t="s">
        <v>4312</v>
      </c>
      <c r="D162" s="422">
        <v>9225581</v>
      </c>
      <c r="E162" s="293" t="s">
        <v>19</v>
      </c>
      <c r="F162" s="293" t="s">
        <v>66</v>
      </c>
      <c r="G162" s="293" t="s">
        <v>144</v>
      </c>
      <c r="H162" s="292">
        <f>IFERROR(VLOOKUP(G162,'Cadastro de assessores'!A:B,2,FALSE),"Não Cadastrado")</f>
        <v>12331</v>
      </c>
      <c r="I162" s="292"/>
      <c r="J162" s="24" t="s">
        <v>3796</v>
      </c>
      <c r="K162" s="292" t="s">
        <v>145</v>
      </c>
      <c r="L162" s="439" t="s">
        <v>3154</v>
      </c>
      <c r="M162" s="439"/>
      <c r="N162" s="299"/>
      <c r="O162" s="299" t="s">
        <v>3813</v>
      </c>
      <c r="P162" s="388">
        <v>0.01</v>
      </c>
      <c r="Q162" s="440" t="s">
        <v>4313</v>
      </c>
      <c r="R162" s="417"/>
      <c r="S162" s="292"/>
      <c r="T162" s="292"/>
      <c r="U162" s="292"/>
      <c r="V162" s="292" t="s">
        <v>66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3793</v>
      </c>
      <c r="B163" s="104" t="s">
        <v>1041</v>
      </c>
      <c r="C163" s="390" t="s">
        <v>3129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3796</v>
      </c>
      <c r="K163" s="293" t="s">
        <v>134</v>
      </c>
      <c r="L163" s="423">
        <v>44644</v>
      </c>
      <c r="M163" s="423">
        <v>44644</v>
      </c>
      <c r="N163" s="299"/>
      <c r="O163" s="299" t="s">
        <v>3810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127</v>
      </c>
      <c r="U163" s="292" t="s">
        <v>3941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3793</v>
      </c>
      <c r="B164" s="104" t="s">
        <v>4314</v>
      </c>
      <c r="C164" s="390" t="s">
        <v>4315</v>
      </c>
      <c r="D164" s="422">
        <v>2160689</v>
      </c>
      <c r="E164" s="293" t="s">
        <v>19</v>
      </c>
      <c r="F164" s="293" t="s">
        <v>66</v>
      </c>
      <c r="G164" s="293" t="s">
        <v>144</v>
      </c>
      <c r="H164" s="426">
        <f>IFERROR(VLOOKUP(G164,'Cadastro de assessores'!A:B,2,FALSE),"Não Cadastrado")</f>
        <v>12331</v>
      </c>
      <c r="I164" s="426"/>
      <c r="J164" s="24" t="s">
        <v>134</v>
      </c>
      <c r="K164" s="293" t="s">
        <v>134</v>
      </c>
      <c r="L164" s="423">
        <v>44645</v>
      </c>
      <c r="M164" s="423">
        <v>44645</v>
      </c>
      <c r="N164" s="299"/>
      <c r="O164" s="299" t="s">
        <v>3803</v>
      </c>
      <c r="P164" s="388">
        <v>1.4999999999999999E-2</v>
      </c>
      <c r="Q164" s="420" t="s">
        <v>4316</v>
      </c>
      <c r="R164" s="417"/>
      <c r="S164" s="292" t="str">
        <f t="shared" si="14"/>
        <v>Não Qualificado</v>
      </c>
      <c r="T164" s="292" t="s">
        <v>127</v>
      </c>
      <c r="U164" s="299" t="s">
        <v>4317</v>
      </c>
      <c r="V164" s="292" t="s">
        <v>1238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2940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3793</v>
      </c>
      <c r="B165" s="104" t="s">
        <v>4318</v>
      </c>
      <c r="C165" s="390" t="s">
        <v>4319</v>
      </c>
      <c r="D165" s="299">
        <v>6486558</v>
      </c>
      <c r="E165" s="293" t="s">
        <v>19</v>
      </c>
      <c r="F165" s="293" t="s">
        <v>20</v>
      </c>
      <c r="G165" s="426" t="s">
        <v>3647</v>
      </c>
      <c r="H165" s="426" t="str">
        <f>IFERROR(VLOOKUP(G165,'Cadastro de assessores'!A:B,2,FALSE),"Não Cadastrado")</f>
        <v>14739</v>
      </c>
      <c r="I165" s="426"/>
      <c r="J165" s="24" t="s">
        <v>134</v>
      </c>
      <c r="K165" s="293" t="s">
        <v>134</v>
      </c>
      <c r="L165" s="415">
        <v>44439</v>
      </c>
      <c r="M165" s="415">
        <v>44447</v>
      </c>
      <c r="N165" s="299"/>
      <c r="O165" s="299" t="s">
        <v>3803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127</v>
      </c>
      <c r="U165" s="299" t="s">
        <v>4320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3793</v>
      </c>
      <c r="B166" s="104" t="s">
        <v>1066</v>
      </c>
      <c r="C166" s="448" t="s">
        <v>1063</v>
      </c>
      <c r="D166" s="299">
        <v>7032839</v>
      </c>
      <c r="E166" s="293" t="s">
        <v>19</v>
      </c>
      <c r="F166" s="293" t="s">
        <v>20</v>
      </c>
      <c r="G166" s="299" t="s">
        <v>3647</v>
      </c>
      <c r="H166" s="426" t="str">
        <f>IFERROR(VLOOKUP(G166,'Cadastro de assessores'!A:B,2,FALSE),"Não Cadastrado")</f>
        <v>14739</v>
      </c>
      <c r="I166" s="426"/>
      <c r="J166" s="24" t="s">
        <v>3796</v>
      </c>
      <c r="K166" s="293" t="s">
        <v>134</v>
      </c>
      <c r="L166" s="415">
        <v>44508</v>
      </c>
      <c r="M166" s="415">
        <v>44509</v>
      </c>
      <c r="N166" s="299"/>
      <c r="O166" s="299" t="s">
        <v>3810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127</v>
      </c>
      <c r="U166" s="299" t="s">
        <v>4320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3793</v>
      </c>
      <c r="B167" s="104" t="s">
        <v>1066</v>
      </c>
      <c r="C167" s="448" t="s">
        <v>1063</v>
      </c>
      <c r="D167" s="299">
        <v>7046433</v>
      </c>
      <c r="E167" s="293" t="s">
        <v>19</v>
      </c>
      <c r="F167" s="293" t="s">
        <v>20</v>
      </c>
      <c r="G167" s="299" t="s">
        <v>3647</v>
      </c>
      <c r="H167" s="426" t="str">
        <f>IFERROR(VLOOKUP(G167,'Cadastro de assessores'!A:B,2,FALSE),"Não Cadastrado")</f>
        <v>14739</v>
      </c>
      <c r="I167" s="426"/>
      <c r="J167" s="24" t="s">
        <v>3796</v>
      </c>
      <c r="K167" s="293" t="s">
        <v>134</v>
      </c>
      <c r="L167" s="415">
        <v>44508</v>
      </c>
      <c r="M167" s="415">
        <v>44508</v>
      </c>
      <c r="N167" s="299"/>
      <c r="O167" s="299" t="s">
        <v>3817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127</v>
      </c>
      <c r="U167" s="299" t="s">
        <v>4320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3793</v>
      </c>
      <c r="B168" s="104" t="s">
        <v>4321</v>
      </c>
      <c r="C168" s="122" t="s">
        <v>4322</v>
      </c>
      <c r="D168" s="292">
        <v>4947409</v>
      </c>
      <c r="E168" s="293" t="s">
        <v>19</v>
      </c>
      <c r="F168" s="293" t="s">
        <v>20</v>
      </c>
      <c r="G168" s="293" t="s">
        <v>4323</v>
      </c>
      <c r="H168" s="293" t="str">
        <f>IFERROR(VLOOKUP(G168,'Cadastro de assessores'!A:B,2,FALSE),"Não Cadastrado")</f>
        <v>13896</v>
      </c>
      <c r="I168" s="293"/>
      <c r="J168" s="24" t="s">
        <v>3796</v>
      </c>
      <c r="K168" s="293" t="s">
        <v>134</v>
      </c>
      <c r="L168" s="415">
        <v>44272</v>
      </c>
      <c r="M168" s="415">
        <v>44260</v>
      </c>
      <c r="N168" s="292"/>
      <c r="O168" s="292" t="s">
        <v>3817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127</v>
      </c>
      <c r="U168" s="292" t="s">
        <v>3854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3793</v>
      </c>
      <c r="B169" s="104" t="s">
        <v>4324</v>
      </c>
      <c r="C169" s="122" t="s">
        <v>4325</v>
      </c>
      <c r="D169" s="292">
        <v>4622255</v>
      </c>
      <c r="E169" s="293" t="s">
        <v>46</v>
      </c>
      <c r="F169" s="293" t="s">
        <v>20</v>
      </c>
      <c r="G169" s="293" t="s">
        <v>4112</v>
      </c>
      <c r="H169" s="293" t="str">
        <f>IFERROR(VLOOKUP(G169,'Cadastro de assessores'!A:B,2,FALSE),"Não Cadastrado")</f>
        <v>19157</v>
      </c>
      <c r="I169" s="293"/>
      <c r="J169" s="24" t="s">
        <v>3796</v>
      </c>
      <c r="K169" s="292" t="s">
        <v>145</v>
      </c>
      <c r="L169" s="292" t="s">
        <v>3154</v>
      </c>
      <c r="M169" s="436" t="s">
        <v>3644</v>
      </c>
      <c r="N169" s="292"/>
      <c r="O169" s="292" t="s">
        <v>3803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127</v>
      </c>
      <c r="U169" s="292" t="s">
        <v>3831</v>
      </c>
      <c r="V169" s="292" t="s">
        <v>20</v>
      </c>
      <c r="W169" s="418" t="s">
        <v>3806</v>
      </c>
      <c r="X169" s="418" t="s">
        <v>3806</v>
      </c>
      <c r="Y169" s="418" t="s">
        <v>3806</v>
      </c>
      <c r="Z169" s="418" t="s">
        <v>3806</v>
      </c>
      <c r="AA169" s="418" t="s">
        <v>3806</v>
      </c>
      <c r="AB169" s="418" t="s">
        <v>3806</v>
      </c>
      <c r="AC169" s="418" t="s">
        <v>3806</v>
      </c>
      <c r="AD169" s="418" t="s">
        <v>3806</v>
      </c>
      <c r="AE169" s="418" t="s">
        <v>3806</v>
      </c>
      <c r="AF169" s="418" t="s">
        <v>3806</v>
      </c>
      <c r="AG169" s="418" t="s">
        <v>3806</v>
      </c>
      <c r="AH169" s="418" t="s">
        <v>3806</v>
      </c>
      <c r="AI169" s="418" t="s">
        <v>3806</v>
      </c>
      <c r="AJ169" s="418" t="s">
        <v>3806</v>
      </c>
      <c r="AK169" s="339" t="s">
        <v>3154</v>
      </c>
      <c r="AL169" s="339"/>
      <c r="AM169" s="339" t="s">
        <v>3154</v>
      </c>
      <c r="AN169" s="339" t="s">
        <v>3154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2940</v>
      </c>
      <c r="BE169" s="339" t="s">
        <v>2940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3793</v>
      </c>
      <c r="B170" s="104" t="s">
        <v>4326</v>
      </c>
      <c r="C170" s="390" t="s">
        <v>4327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3796</v>
      </c>
      <c r="K170" s="293" t="s">
        <v>134</v>
      </c>
      <c r="L170" s="415">
        <v>44757</v>
      </c>
      <c r="M170" s="415">
        <v>44757</v>
      </c>
      <c r="N170" s="292"/>
      <c r="O170" s="292" t="s">
        <v>3813</v>
      </c>
      <c r="P170" s="388">
        <v>1.2E-2</v>
      </c>
      <c r="Q170" s="420" t="s">
        <v>4328</v>
      </c>
      <c r="R170" s="417"/>
      <c r="S170" s="292"/>
      <c r="T170" s="292" t="s">
        <v>127</v>
      </c>
      <c r="U170" s="292" t="s">
        <v>3824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3793</v>
      </c>
      <c r="B171" s="104" t="s">
        <v>4329</v>
      </c>
      <c r="C171" s="122" t="s">
        <v>4330</v>
      </c>
      <c r="D171" s="292">
        <v>4862815</v>
      </c>
      <c r="E171" s="292" t="s">
        <v>19</v>
      </c>
      <c r="F171" s="292" t="s">
        <v>66</v>
      </c>
      <c r="G171" s="292" t="s">
        <v>316</v>
      </c>
      <c r="H171" s="292" t="str">
        <f>IFERROR(VLOOKUP(G171,'Cadastro de assessores'!A:B,2,FALSE),"Não Cadastrado")</f>
        <v>18009</v>
      </c>
      <c r="I171" s="292"/>
      <c r="J171" s="24" t="s">
        <v>125</v>
      </c>
      <c r="K171" s="292" t="s">
        <v>3802</v>
      </c>
      <c r="L171" s="387">
        <v>44251</v>
      </c>
      <c r="M171" s="387">
        <v>44251</v>
      </c>
      <c r="N171" s="387">
        <v>44777</v>
      </c>
      <c r="O171" s="292" t="s">
        <v>3817</v>
      </c>
      <c r="P171" s="388">
        <v>2.5000000000000001E-2</v>
      </c>
      <c r="Q171" s="420" t="s">
        <v>4331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127</v>
      </c>
      <c r="U171" s="292" t="s">
        <v>3854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3793</v>
      </c>
      <c r="B172" s="104" t="s">
        <v>4332</v>
      </c>
      <c r="C172" s="390" t="s">
        <v>4333</v>
      </c>
      <c r="D172" s="299">
        <v>5171052</v>
      </c>
      <c r="E172" s="293" t="s">
        <v>19</v>
      </c>
      <c r="F172" s="293" t="s">
        <v>66</v>
      </c>
      <c r="G172" s="293" t="s">
        <v>316</v>
      </c>
      <c r="H172" s="293" t="str">
        <f>IFERROR(VLOOKUP(G172,'Cadastro de assessores'!A:B,2,FALSE),"Não Cadastrado")</f>
        <v>18009</v>
      </c>
      <c r="I172" s="293"/>
      <c r="J172" s="24" t="s">
        <v>134</v>
      </c>
      <c r="K172" s="293" t="s">
        <v>134</v>
      </c>
      <c r="L172" s="415">
        <v>44299</v>
      </c>
      <c r="M172" s="415">
        <v>44314</v>
      </c>
      <c r="N172" s="292"/>
      <c r="O172" s="292" t="s">
        <v>3817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127</v>
      </c>
      <c r="U172" s="292" t="s">
        <v>4334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3793</v>
      </c>
      <c r="B173" s="104" t="s">
        <v>4335</v>
      </c>
      <c r="C173" s="122" t="s">
        <v>4336</v>
      </c>
      <c r="D173" s="292">
        <v>2218857</v>
      </c>
      <c r="E173" s="292" t="s">
        <v>46</v>
      </c>
      <c r="F173" s="292" t="s">
        <v>20</v>
      </c>
      <c r="G173" s="292" t="s">
        <v>3640</v>
      </c>
      <c r="H173" s="292" t="str">
        <f>IFERROR(VLOOKUP(G173,'Cadastro de assessores'!A:B,2,FALSE),"Não Cadastrado")</f>
        <v>14574</v>
      </c>
      <c r="I173" s="292"/>
      <c r="J173" s="24" t="s">
        <v>125</v>
      </c>
      <c r="K173" s="292" t="s">
        <v>3802</v>
      </c>
      <c r="L173" s="419">
        <v>44126</v>
      </c>
      <c r="M173" s="419">
        <v>44126</v>
      </c>
      <c r="N173" s="387">
        <v>44281</v>
      </c>
      <c r="O173" s="292" t="s">
        <v>3803</v>
      </c>
      <c r="P173" s="388">
        <v>1.4999999999999999E-2</v>
      </c>
      <c r="Q173" s="420" t="s">
        <v>4337</v>
      </c>
      <c r="R173" s="417"/>
      <c r="S173" s="292" t="str">
        <f t="shared" si="15"/>
        <v>Qualificado</v>
      </c>
      <c r="T173" s="292" t="s">
        <v>127</v>
      </c>
      <c r="U173" s="292" t="s">
        <v>3937</v>
      </c>
      <c r="V173" s="292" t="s">
        <v>20</v>
      </c>
      <c r="W173" s="418" t="s">
        <v>3806</v>
      </c>
      <c r="X173" s="418" t="s">
        <v>3806</v>
      </c>
      <c r="Y173" s="418" t="s">
        <v>3806</v>
      </c>
      <c r="Z173" s="418" t="s">
        <v>3806</v>
      </c>
      <c r="AA173" s="418" t="s">
        <v>3806</v>
      </c>
      <c r="AB173" s="418" t="s">
        <v>3806</v>
      </c>
      <c r="AC173" s="418" t="s">
        <v>3806</v>
      </c>
      <c r="AD173" s="418" t="s">
        <v>3806</v>
      </c>
      <c r="AE173" s="418" t="s">
        <v>3806</v>
      </c>
      <c r="AF173" s="418" t="s">
        <v>3806</v>
      </c>
      <c r="AG173" s="418" t="s">
        <v>3806</v>
      </c>
      <c r="AH173" s="418" t="s">
        <v>3806</v>
      </c>
      <c r="AI173" s="418" t="s">
        <v>4338</v>
      </c>
      <c r="AJ173" s="418" t="s">
        <v>4339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2940</v>
      </c>
      <c r="BE173" s="339" t="s">
        <v>2940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3793</v>
      </c>
      <c r="B174" s="104" t="s">
        <v>1113</v>
      </c>
      <c r="C174" s="390" t="s">
        <v>1109</v>
      </c>
      <c r="D174" s="299">
        <v>2257037</v>
      </c>
      <c r="E174" s="293" t="s">
        <v>46</v>
      </c>
      <c r="F174" s="293" t="s">
        <v>20</v>
      </c>
      <c r="G174" s="293" t="s">
        <v>4275</v>
      </c>
      <c r="H174" s="293">
        <f>IFERROR(VLOOKUP(G174,'Cadastro de assessores'!A:B,2,FALSE),"Não Cadastrado")</f>
        <v>12330</v>
      </c>
      <c r="I174" s="293"/>
      <c r="J174" s="24" t="s">
        <v>3796</v>
      </c>
      <c r="K174" s="293" t="s">
        <v>134</v>
      </c>
      <c r="L174" s="423">
        <v>44684</v>
      </c>
      <c r="M174" s="423">
        <v>44706</v>
      </c>
      <c r="N174" s="292"/>
      <c r="O174" s="292" t="s">
        <v>4340</v>
      </c>
      <c r="P174" s="388">
        <v>2E-3</v>
      </c>
      <c r="Q174" s="167" t="s">
        <v>4328</v>
      </c>
      <c r="R174" s="417"/>
      <c r="S174" s="292"/>
      <c r="T174" s="292" t="s">
        <v>127</v>
      </c>
      <c r="U174" s="292" t="s">
        <v>3831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3793</v>
      </c>
      <c r="B175" s="104" t="s">
        <v>1113</v>
      </c>
      <c r="C175" s="390" t="s">
        <v>1109</v>
      </c>
      <c r="D175" s="299">
        <v>8588911</v>
      </c>
      <c r="E175" s="293" t="s">
        <v>46</v>
      </c>
      <c r="F175" s="293" t="s">
        <v>20</v>
      </c>
      <c r="G175" s="293" t="s">
        <v>4275</v>
      </c>
      <c r="H175" s="293">
        <f>IFERROR(VLOOKUP(G175,'Cadastro de assessores'!A:B,2,FALSE),"Não Cadastrado")</f>
        <v>12330</v>
      </c>
      <c r="I175" s="293"/>
      <c r="J175" s="24" t="s">
        <v>3796</v>
      </c>
      <c r="K175" s="293" t="s">
        <v>134</v>
      </c>
      <c r="L175" s="423">
        <v>44704</v>
      </c>
      <c r="M175" s="423">
        <v>44706</v>
      </c>
      <c r="N175" s="292"/>
      <c r="O175" s="292" t="s">
        <v>3813</v>
      </c>
      <c r="P175" s="388">
        <v>0.01</v>
      </c>
      <c r="Q175" s="420" t="s">
        <v>4341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127</v>
      </c>
      <c r="U175" s="292" t="s">
        <v>3831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3793</v>
      </c>
      <c r="B176" s="104" t="s">
        <v>1121</v>
      </c>
      <c r="C176" s="441" t="s">
        <v>4342</v>
      </c>
      <c r="D176" s="422">
        <v>7393141</v>
      </c>
      <c r="E176" s="293" t="s">
        <v>19</v>
      </c>
      <c r="F176" s="293" t="s">
        <v>66</v>
      </c>
      <c r="G176" s="293" t="s">
        <v>144</v>
      </c>
      <c r="H176" s="293">
        <f>IFERROR(VLOOKUP(G176,'Cadastro de assessores'!A:B,2,FALSE),"Não Cadastrado")</f>
        <v>12331</v>
      </c>
      <c r="I176" s="293"/>
      <c r="J176" s="24" t="s">
        <v>3796</v>
      </c>
      <c r="K176" s="293" t="s">
        <v>134</v>
      </c>
      <c r="L176" s="423">
        <v>44607</v>
      </c>
      <c r="M176" s="423">
        <v>44606</v>
      </c>
      <c r="N176" s="292"/>
      <c r="O176" s="292" t="s">
        <v>3813</v>
      </c>
      <c r="P176" s="388">
        <v>1.2E-2</v>
      </c>
      <c r="Q176" s="420" t="s">
        <v>4092</v>
      </c>
      <c r="R176" s="417"/>
      <c r="S176" s="292" t="str">
        <f t="shared" si="16"/>
        <v>Não Qualificado</v>
      </c>
      <c r="T176" s="292" t="s">
        <v>171</v>
      </c>
      <c r="U176" s="292" t="s">
        <v>3849</v>
      </c>
      <c r="V176" s="292" t="s">
        <v>66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3793</v>
      </c>
      <c r="B177" s="104" t="s">
        <v>4343</v>
      </c>
      <c r="C177" s="122" t="s">
        <v>4344</v>
      </c>
      <c r="D177" s="292">
        <v>4418403</v>
      </c>
      <c r="E177" s="292" t="s">
        <v>46</v>
      </c>
      <c r="F177" s="292" t="s">
        <v>20</v>
      </c>
      <c r="G177" s="292" t="s">
        <v>3640</v>
      </c>
      <c r="H177" s="292" t="str">
        <f>IFERROR(VLOOKUP(G177,'Cadastro de assessores'!A:B,2,FALSE),"Não Cadastrado")</f>
        <v>14574</v>
      </c>
      <c r="I177" s="292"/>
      <c r="J177" s="24" t="s">
        <v>125</v>
      </c>
      <c r="K177" s="292" t="s">
        <v>3802</v>
      </c>
      <c r="L177" s="387">
        <v>44075</v>
      </c>
      <c r="M177" s="387">
        <v>44075</v>
      </c>
      <c r="N177" s="387">
        <v>44650</v>
      </c>
      <c r="O177" s="292" t="s">
        <v>3803</v>
      </c>
      <c r="P177" s="388">
        <v>1.4999999999999999E-2</v>
      </c>
      <c r="Q177" s="420" t="s">
        <v>4345</v>
      </c>
      <c r="R177" s="417"/>
      <c r="S177" s="292" t="str">
        <f t="shared" si="16"/>
        <v/>
      </c>
      <c r="T177" s="292" t="s">
        <v>127</v>
      </c>
      <c r="U177" s="292" t="s">
        <v>3805</v>
      </c>
      <c r="V177" s="292" t="s">
        <v>20</v>
      </c>
      <c r="W177" s="418" t="s">
        <v>3806</v>
      </c>
      <c r="X177" s="418" t="s">
        <v>3806</v>
      </c>
      <c r="Y177" s="418" t="s">
        <v>3806</v>
      </c>
      <c r="Z177" s="418" t="s">
        <v>3806</v>
      </c>
      <c r="AA177" s="418" t="s">
        <v>3806</v>
      </c>
      <c r="AB177" s="418" t="s">
        <v>3806</v>
      </c>
      <c r="AC177" s="418" t="s">
        <v>3806</v>
      </c>
      <c r="AD177" s="418" t="s">
        <v>3806</v>
      </c>
      <c r="AE177" s="418" t="s">
        <v>3806</v>
      </c>
      <c r="AF177" s="418" t="s">
        <v>3806</v>
      </c>
      <c r="AG177" s="418" t="s">
        <v>3806</v>
      </c>
      <c r="AH177" s="418" t="s">
        <v>4346</v>
      </c>
      <c r="AI177" s="418" t="s">
        <v>4347</v>
      </c>
      <c r="AJ177" s="418" t="s">
        <v>4348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2940</v>
      </c>
      <c r="BE177" s="339" t="s">
        <v>2940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3793</v>
      </c>
      <c r="B178" s="104" t="s">
        <v>4349</v>
      </c>
      <c r="C178" s="390" t="s">
        <v>4350</v>
      </c>
      <c r="D178" s="432">
        <v>7970402</v>
      </c>
      <c r="E178" s="292" t="s">
        <v>19</v>
      </c>
      <c r="F178" s="292" t="s">
        <v>20</v>
      </c>
      <c r="G178" s="292" t="s">
        <v>4351</v>
      </c>
      <c r="H178" s="292" t="str">
        <f>IFERROR(VLOOKUP(G178,'Cadastro de assessores'!A:B,2,FALSE),"Não Cadastrado")</f>
        <v>16130</v>
      </c>
      <c r="I178" s="292"/>
      <c r="J178" s="24" t="s">
        <v>125</v>
      </c>
      <c r="K178" s="292" t="s">
        <v>3802</v>
      </c>
      <c r="L178" s="387">
        <v>44623</v>
      </c>
      <c r="M178" s="387">
        <v>44623</v>
      </c>
      <c r="N178" s="391">
        <v>44763</v>
      </c>
      <c r="O178" s="299" t="s">
        <v>3810</v>
      </c>
      <c r="P178" s="388">
        <v>7.0000000000000001E-3</v>
      </c>
      <c r="Q178" s="420" t="s">
        <v>4352</v>
      </c>
      <c r="R178" s="417"/>
      <c r="S178" s="292" t="str">
        <f t="shared" si="16"/>
        <v>Não Qualificado</v>
      </c>
      <c r="T178" s="292" t="s">
        <v>127</v>
      </c>
      <c r="U178" s="292" t="s">
        <v>3840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3793</v>
      </c>
      <c r="B179" s="104" t="s">
        <v>3161</v>
      </c>
      <c r="C179" s="390" t="s">
        <v>4353</v>
      </c>
      <c r="D179" s="299">
        <v>522975</v>
      </c>
      <c r="E179" s="293" t="s">
        <v>19</v>
      </c>
      <c r="F179" s="293" t="s">
        <v>20</v>
      </c>
      <c r="G179" s="299" t="s">
        <v>2963</v>
      </c>
      <c r="H179" s="292" t="str">
        <f>IFERROR(VLOOKUP(G179,'Cadastro de assessores'!A:B,2,FALSE),"Não Cadastrado")</f>
        <v>18836</v>
      </c>
      <c r="I179" s="293"/>
      <c r="J179" s="24" t="s">
        <v>3796</v>
      </c>
      <c r="K179" s="293"/>
      <c r="L179" s="423"/>
      <c r="M179" s="423"/>
      <c r="N179" s="299"/>
      <c r="O179" s="299" t="s">
        <v>3810</v>
      </c>
      <c r="P179" s="388">
        <v>0.01</v>
      </c>
      <c r="Q179" s="420"/>
      <c r="R179" s="417"/>
      <c r="S179" s="292"/>
      <c r="T179" s="292"/>
      <c r="U179" s="292"/>
      <c r="V179" s="292" t="s">
        <v>878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3793</v>
      </c>
      <c r="B180" s="104" t="s">
        <v>4354</v>
      </c>
      <c r="C180" s="390" t="s">
        <v>4355</v>
      </c>
      <c r="D180" s="299">
        <v>3581528</v>
      </c>
      <c r="E180" s="293" t="s">
        <v>46</v>
      </c>
      <c r="F180" s="293" t="s">
        <v>20</v>
      </c>
      <c r="G180" s="299" t="s">
        <v>2810</v>
      </c>
      <c r="H180" s="293">
        <f>IFERROR(VLOOKUP(G180,'Cadastro de assessores'!A:B,2,FALSE),"Não Cadastrado")</f>
        <v>12347</v>
      </c>
      <c r="I180" s="293"/>
      <c r="J180" s="24" t="s">
        <v>134</v>
      </c>
      <c r="K180" s="293" t="s">
        <v>134</v>
      </c>
      <c r="L180" s="423">
        <v>44693</v>
      </c>
      <c r="M180" s="423">
        <v>44693</v>
      </c>
      <c r="N180" s="299"/>
      <c r="O180" s="299" t="s">
        <v>3813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127</v>
      </c>
      <c r="U180" s="292" t="s">
        <v>3805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3793</v>
      </c>
      <c r="B181" s="104" t="s">
        <v>3167</v>
      </c>
      <c r="C181" s="390" t="s">
        <v>3165</v>
      </c>
      <c r="D181" s="299">
        <v>4001766</v>
      </c>
      <c r="E181" s="293" t="s">
        <v>19</v>
      </c>
      <c r="F181" s="293" t="s">
        <v>20</v>
      </c>
      <c r="G181" s="299" t="s">
        <v>3166</v>
      </c>
      <c r="H181" s="293" t="str">
        <f>IFERROR(VLOOKUP(G181,'Cadastro de assessores'!A:B,2,FALSE),"Não Cadastrado")</f>
        <v>13444</v>
      </c>
      <c r="I181" s="293"/>
      <c r="J181" s="24" t="s">
        <v>3796</v>
      </c>
      <c r="K181" s="293" t="s">
        <v>134</v>
      </c>
      <c r="L181" s="423">
        <v>44747</v>
      </c>
      <c r="M181" s="423">
        <v>44747</v>
      </c>
      <c r="N181" s="299"/>
      <c r="O181" s="299" t="s">
        <v>3813</v>
      </c>
      <c r="P181" s="388">
        <v>1.2E-2</v>
      </c>
      <c r="Q181" s="167" t="s">
        <v>4356</v>
      </c>
      <c r="R181" s="417"/>
      <c r="S181" s="292"/>
      <c r="T181" s="292" t="s">
        <v>127</v>
      </c>
      <c r="U181" s="292" t="s">
        <v>4357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2940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3793</v>
      </c>
      <c r="B182" s="104" t="s">
        <v>4358</v>
      </c>
      <c r="C182" s="390" t="s">
        <v>4359</v>
      </c>
      <c r="D182" s="299">
        <v>2651260</v>
      </c>
      <c r="E182" s="292" t="s">
        <v>19</v>
      </c>
      <c r="F182" s="292" t="s">
        <v>20</v>
      </c>
      <c r="G182" s="292" t="s">
        <v>3689</v>
      </c>
      <c r="H182" s="292" t="str">
        <f>IFERROR(VLOOKUP(G182,'Cadastro de assessores'!A:B,2,FALSE),"Não Cadastrado")</f>
        <v>18266</v>
      </c>
      <c r="I182" s="292"/>
      <c r="J182" s="24" t="s">
        <v>125</v>
      </c>
      <c r="K182" s="292" t="s">
        <v>3802</v>
      </c>
      <c r="L182" s="292" t="s">
        <v>3154</v>
      </c>
      <c r="M182" s="292" t="s">
        <v>3154</v>
      </c>
      <c r="N182" s="387">
        <v>44459</v>
      </c>
      <c r="O182" s="292" t="s">
        <v>3817</v>
      </c>
      <c r="P182" s="388">
        <v>2.5000000000000001E-2</v>
      </c>
      <c r="Q182" s="420" t="s">
        <v>4360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127</v>
      </c>
      <c r="U182" s="299" t="s">
        <v>4057</v>
      </c>
      <c r="V182" s="299" t="s">
        <v>878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2940</v>
      </c>
      <c r="BE182" s="339" t="s">
        <v>2940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3793</v>
      </c>
      <c r="B183" s="104" t="s">
        <v>3087</v>
      </c>
      <c r="C183" s="390" t="s">
        <v>4361</v>
      </c>
      <c r="D183" s="299">
        <v>3716665</v>
      </c>
      <c r="E183" s="293" t="s">
        <v>46</v>
      </c>
      <c r="F183" s="293" t="s">
        <v>20</v>
      </c>
      <c r="G183" s="299" t="s">
        <v>325</v>
      </c>
      <c r="H183" s="293" t="str">
        <f>IFERROR(VLOOKUP(G183,'Cadastro de assessores'!A:B,2,FALSE),"Não Cadastrado")</f>
        <v>17896</v>
      </c>
      <c r="I183" s="293"/>
      <c r="J183" s="24" t="s">
        <v>3796</v>
      </c>
      <c r="K183" s="292" t="s">
        <v>3154</v>
      </c>
      <c r="L183" s="292" t="s">
        <v>3154</v>
      </c>
      <c r="M183" s="436" t="s">
        <v>4362</v>
      </c>
      <c r="N183" s="299"/>
      <c r="O183" s="299" t="s">
        <v>3813</v>
      </c>
      <c r="P183" s="388">
        <v>1.2E-2</v>
      </c>
      <c r="Q183" s="420"/>
      <c r="R183" s="417"/>
      <c r="S183" s="292"/>
      <c r="T183" s="292" t="s">
        <v>171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2940</v>
      </c>
      <c r="BE183" s="339" t="s">
        <v>2940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3793</v>
      </c>
      <c r="B184" s="104" t="s">
        <v>1157</v>
      </c>
      <c r="C184" s="390" t="s">
        <v>4363</v>
      </c>
      <c r="D184" s="299">
        <v>8461167</v>
      </c>
      <c r="E184" s="293" t="s">
        <v>19</v>
      </c>
      <c r="F184" s="293" t="s">
        <v>66</v>
      </c>
      <c r="G184" s="299" t="s">
        <v>3991</v>
      </c>
      <c r="H184" s="293">
        <f>IFERROR(VLOOKUP(G184,'Cadastro de assessores'!A:B,2,FALSE),"Não Cadastrado")</f>
        <v>12351</v>
      </c>
      <c r="I184" s="293"/>
      <c r="J184" s="24" t="s">
        <v>3796</v>
      </c>
      <c r="K184" s="293" t="s">
        <v>134</v>
      </c>
      <c r="L184" s="416">
        <v>44690</v>
      </c>
      <c r="M184" s="416">
        <v>44694</v>
      </c>
      <c r="N184" s="299"/>
      <c r="O184" s="299" t="s">
        <v>3813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127</v>
      </c>
      <c r="U184" s="292" t="s">
        <v>3849</v>
      </c>
      <c r="V184" s="292" t="s">
        <v>66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3793</v>
      </c>
      <c r="B185" s="104" t="s">
        <v>4364</v>
      </c>
      <c r="C185" s="122" t="s">
        <v>4365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3796</v>
      </c>
      <c r="K185" s="292" t="s">
        <v>145</v>
      </c>
      <c r="L185" s="416">
        <v>44193</v>
      </c>
      <c r="M185" s="416">
        <v>44195</v>
      </c>
      <c r="N185" s="292"/>
      <c r="O185" s="292" t="s">
        <v>3813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127</v>
      </c>
      <c r="U185" s="292" t="s">
        <v>3805</v>
      </c>
      <c r="V185" s="292" t="s">
        <v>20</v>
      </c>
      <c r="W185" s="418" t="s">
        <v>3806</v>
      </c>
      <c r="X185" s="418" t="s">
        <v>3806</v>
      </c>
      <c r="Y185" s="418" t="s">
        <v>3806</v>
      </c>
      <c r="Z185" s="418" t="s">
        <v>3806</v>
      </c>
      <c r="AA185" s="418" t="s">
        <v>3806</v>
      </c>
      <c r="AB185" s="418" t="s">
        <v>3806</v>
      </c>
      <c r="AC185" s="418" t="s">
        <v>3806</v>
      </c>
      <c r="AD185" s="418" t="s">
        <v>3806</v>
      </c>
      <c r="AE185" s="418" t="s">
        <v>3806</v>
      </c>
      <c r="AF185" s="418" t="s">
        <v>3806</v>
      </c>
      <c r="AG185" s="418" t="s">
        <v>3806</v>
      </c>
      <c r="AH185" s="418" t="s">
        <v>3806</v>
      </c>
      <c r="AI185" s="418" t="s">
        <v>3806</v>
      </c>
      <c r="AJ185" s="418" t="s">
        <v>3806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3793</v>
      </c>
      <c r="B186" s="104" t="s">
        <v>4366</v>
      </c>
      <c r="C186" s="390" t="s">
        <v>4367</v>
      </c>
      <c r="D186" s="299">
        <v>4929433</v>
      </c>
      <c r="E186" s="293" t="s">
        <v>19</v>
      </c>
      <c r="F186" s="293" t="s">
        <v>20</v>
      </c>
      <c r="G186" s="293" t="s">
        <v>4368</v>
      </c>
      <c r="H186" s="293" t="str">
        <f>IFERROR(VLOOKUP(G186,'Cadastro de assessores'!A:B,2,FALSE),"Não Cadastrado")</f>
        <v>1633</v>
      </c>
      <c r="I186" s="293"/>
      <c r="J186" s="24" t="s">
        <v>3796</v>
      </c>
      <c r="K186" s="292" t="s">
        <v>3154</v>
      </c>
      <c r="L186" s="292" t="s">
        <v>3154</v>
      </c>
      <c r="M186" s="436" t="s">
        <v>3644</v>
      </c>
      <c r="N186" s="299"/>
      <c r="O186" s="299" t="s">
        <v>3850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127</v>
      </c>
      <c r="U186" s="292" t="s">
        <v>3805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2940</v>
      </c>
      <c r="BE186" s="339" t="s">
        <v>2940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3793</v>
      </c>
      <c r="B187" s="104" t="s">
        <v>4369</v>
      </c>
      <c r="C187" s="390" t="s">
        <v>4370</v>
      </c>
      <c r="D187" s="299">
        <v>38592</v>
      </c>
      <c r="E187" s="292" t="s">
        <v>46</v>
      </c>
      <c r="F187" s="292" t="s">
        <v>20</v>
      </c>
      <c r="G187" s="292" t="s">
        <v>4371</v>
      </c>
      <c r="H187" s="292" t="str">
        <f>IFERROR(VLOOKUP(G187,'Cadastro de assessores'!A:B,2,FALSE),"Não Cadastrado")</f>
        <v>11113</v>
      </c>
      <c r="I187" s="292"/>
      <c r="J187" s="24" t="s">
        <v>125</v>
      </c>
      <c r="K187" s="292" t="s">
        <v>3802</v>
      </c>
      <c r="L187" s="387">
        <v>44407</v>
      </c>
      <c r="M187" s="387">
        <v>44407</v>
      </c>
      <c r="N187" s="447">
        <v>44516</v>
      </c>
      <c r="O187" s="299" t="s">
        <v>3803</v>
      </c>
      <c r="P187" s="388">
        <v>1.4999999999999999E-2</v>
      </c>
      <c r="Q187" s="167" t="s">
        <v>4372</v>
      </c>
      <c r="R187" s="417"/>
      <c r="S187" s="292" t="str">
        <f t="shared" si="17"/>
        <v>Não Qualificado</v>
      </c>
      <c r="T187" s="292" t="s">
        <v>127</v>
      </c>
      <c r="U187" s="299" t="s">
        <v>4186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2940</v>
      </c>
      <c r="BE187" s="339" t="s">
        <v>2940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3793</v>
      </c>
      <c r="B188" s="104" t="s">
        <v>1180</v>
      </c>
      <c r="C188" s="122" t="s">
        <v>1177</v>
      </c>
      <c r="D188" s="292">
        <v>4568576</v>
      </c>
      <c r="E188" s="293" t="s">
        <v>46</v>
      </c>
      <c r="F188" s="293" t="s">
        <v>20</v>
      </c>
      <c r="G188" s="293" t="s">
        <v>4112</v>
      </c>
      <c r="H188" s="293" t="str">
        <f>IFERROR(VLOOKUP(G188,'Cadastro de assessores'!A:B,2,FALSE),"Não Cadastrado")</f>
        <v>19157</v>
      </c>
      <c r="I188" s="293"/>
      <c r="J188" s="24" t="s">
        <v>3796</v>
      </c>
      <c r="K188" s="292" t="s">
        <v>134</v>
      </c>
      <c r="L188" s="416">
        <v>44138</v>
      </c>
      <c r="M188" s="416">
        <v>44145</v>
      </c>
      <c r="N188" s="299"/>
      <c r="O188" s="299" t="s">
        <v>3797</v>
      </c>
      <c r="P188" s="388">
        <v>0.02</v>
      </c>
      <c r="Q188" s="420" t="s">
        <v>4373</v>
      </c>
      <c r="R188" s="417"/>
      <c r="S188" s="292" t="str">
        <f t="shared" si="17"/>
        <v/>
      </c>
      <c r="T188" s="292" t="s">
        <v>127</v>
      </c>
      <c r="U188" s="292" t="s">
        <v>4102</v>
      </c>
      <c r="V188" s="292" t="s">
        <v>48</v>
      </c>
      <c r="W188" s="418" t="s">
        <v>3806</v>
      </c>
      <c r="X188" s="418" t="s">
        <v>3806</v>
      </c>
      <c r="Y188" s="418" t="s">
        <v>3806</v>
      </c>
      <c r="Z188" s="418" t="s">
        <v>3806</v>
      </c>
      <c r="AA188" s="418" t="s">
        <v>3806</v>
      </c>
      <c r="AB188" s="418" t="s">
        <v>3806</v>
      </c>
      <c r="AC188" s="418" t="s">
        <v>3806</v>
      </c>
      <c r="AD188" s="418" t="s">
        <v>3806</v>
      </c>
      <c r="AE188" s="418" t="s">
        <v>3806</v>
      </c>
      <c r="AF188" s="418" t="s">
        <v>3806</v>
      </c>
      <c r="AG188" s="418" t="s">
        <v>3806</v>
      </c>
      <c r="AH188" s="418" t="s">
        <v>3806</v>
      </c>
      <c r="AI188" s="418" t="s">
        <v>3806</v>
      </c>
      <c r="AJ188" s="418" t="s">
        <v>4374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3793</v>
      </c>
      <c r="B189" s="104" t="s">
        <v>4375</v>
      </c>
      <c r="C189" s="122" t="s">
        <v>4376</v>
      </c>
      <c r="D189" s="292">
        <v>2089993</v>
      </c>
      <c r="E189" s="293" t="s">
        <v>19</v>
      </c>
      <c r="F189" s="293" t="s">
        <v>20</v>
      </c>
      <c r="G189" s="293" t="s">
        <v>2963</v>
      </c>
      <c r="H189" s="292" t="str">
        <f>IFERROR(VLOOKUP(G189,'Cadastro de assessores'!A:B,2,FALSE),"Não Cadastrado")</f>
        <v>18836</v>
      </c>
      <c r="I189" s="293"/>
      <c r="J189" s="24" t="s">
        <v>3796</v>
      </c>
      <c r="K189" s="293"/>
      <c r="L189" s="415"/>
      <c r="M189" s="415"/>
      <c r="N189" s="292"/>
      <c r="O189" s="292" t="s">
        <v>3810</v>
      </c>
      <c r="P189" s="388">
        <v>0.01</v>
      </c>
      <c r="Q189" s="420"/>
      <c r="R189" s="417"/>
      <c r="S189" s="292"/>
      <c r="T189" s="292"/>
      <c r="U189" s="292"/>
      <c r="V189" s="292" t="s">
        <v>878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3793</v>
      </c>
      <c r="B190" s="104" t="s">
        <v>4377</v>
      </c>
      <c r="C190" s="390" t="s">
        <v>4378</v>
      </c>
      <c r="D190" s="299">
        <v>5907461</v>
      </c>
      <c r="E190" s="292" t="s">
        <v>19</v>
      </c>
      <c r="F190" s="292" t="s">
        <v>20</v>
      </c>
      <c r="G190" s="292" t="s">
        <v>3689</v>
      </c>
      <c r="H190" s="292" t="str">
        <f>IFERROR(VLOOKUP(G190,'Cadastro de assessores'!A:B,2,FALSE),"Não Cadastrado")</f>
        <v>18266</v>
      </c>
      <c r="I190" s="292"/>
      <c r="J190" s="24" t="s">
        <v>125</v>
      </c>
      <c r="K190" s="292" t="s">
        <v>3802</v>
      </c>
      <c r="L190" s="387">
        <v>44405</v>
      </c>
      <c r="M190" s="387">
        <v>44405</v>
      </c>
      <c r="N190" s="391">
        <v>44677</v>
      </c>
      <c r="O190" s="299" t="s">
        <v>3817</v>
      </c>
      <c r="P190" s="388">
        <v>2.5000000000000001E-2</v>
      </c>
      <c r="Q190" s="167" t="s">
        <v>4379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127</v>
      </c>
      <c r="U190" s="299" t="s">
        <v>4057</v>
      </c>
      <c r="V190" s="299" t="s">
        <v>878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2940</v>
      </c>
      <c r="BE190" s="339" t="s">
        <v>2940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3793</v>
      </c>
      <c r="B191" s="104" t="s">
        <v>1192</v>
      </c>
      <c r="C191" s="122" t="s">
        <v>1190</v>
      </c>
      <c r="D191" s="292">
        <v>8699747</v>
      </c>
      <c r="E191" s="293" t="s">
        <v>19</v>
      </c>
      <c r="F191" s="293" t="s">
        <v>20</v>
      </c>
      <c r="G191" s="293" t="s">
        <v>360</v>
      </c>
      <c r="H191" s="292">
        <f>IFERROR(VLOOKUP(G191,'Cadastro de assessores'!A:B,2,FALSE),"Não Cadastrado")</f>
        <v>12359</v>
      </c>
      <c r="I191" s="292"/>
      <c r="J191" s="24" t="s">
        <v>3796</v>
      </c>
      <c r="K191" s="292" t="s">
        <v>134</v>
      </c>
      <c r="L191" s="415">
        <v>44776</v>
      </c>
      <c r="M191" s="415">
        <v>44778</v>
      </c>
      <c r="N191" s="292"/>
      <c r="O191" s="292" t="s">
        <v>3810</v>
      </c>
      <c r="P191" s="388">
        <v>7.0000000000000001E-3</v>
      </c>
      <c r="Q191" s="420"/>
      <c r="R191" s="417"/>
      <c r="S191" s="292"/>
      <c r="T191" s="292"/>
      <c r="U191" s="292"/>
      <c r="V191" s="292" t="s">
        <v>878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3793</v>
      </c>
      <c r="B192" s="104" t="s">
        <v>4380</v>
      </c>
      <c r="C192" s="122" t="s">
        <v>4381</v>
      </c>
      <c r="D192" s="292">
        <v>4920156</v>
      </c>
      <c r="E192" s="293" t="s">
        <v>46</v>
      </c>
      <c r="F192" s="293" t="s">
        <v>20</v>
      </c>
      <c r="G192" s="293" t="s">
        <v>3870</v>
      </c>
      <c r="H192" s="293" t="str">
        <f>IFERROR(VLOOKUP(G192,'Cadastro de assessores'!A:B,2,FALSE),"Não Cadastrado")</f>
        <v>1298</v>
      </c>
      <c r="I192" s="293"/>
      <c r="J192" s="24" t="s">
        <v>125</v>
      </c>
      <c r="K192" s="293" t="s">
        <v>134</v>
      </c>
      <c r="L192" s="415">
        <v>44258</v>
      </c>
      <c r="M192" s="415">
        <v>44263</v>
      </c>
      <c r="N192" s="387">
        <v>44987</v>
      </c>
      <c r="O192" s="292" t="s">
        <v>3803</v>
      </c>
      <c r="P192" s="388">
        <v>1.4999999999999999E-2</v>
      </c>
      <c r="Q192" s="420" t="s">
        <v>4382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127</v>
      </c>
      <c r="U192" s="292" t="s">
        <v>3805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3793</v>
      </c>
      <c r="B193" s="104" t="s">
        <v>4383</v>
      </c>
      <c r="C193" s="122" t="s">
        <v>4384</v>
      </c>
      <c r="D193" s="319">
        <v>508722</v>
      </c>
      <c r="E193" s="293" t="s">
        <v>19</v>
      </c>
      <c r="F193" s="293" t="s">
        <v>20</v>
      </c>
      <c r="G193" s="293" t="s">
        <v>3344</v>
      </c>
      <c r="H193" s="293">
        <f>IFERROR(VLOOKUP(G193,'Cadastro de assessores'!A:B,2,FALSE),"Não Cadastrado")</f>
        <v>12355</v>
      </c>
      <c r="I193" s="293"/>
      <c r="J193" s="24" t="s">
        <v>3796</v>
      </c>
      <c r="K193" s="292" t="s">
        <v>145</v>
      </c>
      <c r="L193" s="293" t="s">
        <v>3154</v>
      </c>
      <c r="M193" s="436" t="s">
        <v>3644</v>
      </c>
      <c r="N193" s="292"/>
      <c r="O193" s="292" t="s">
        <v>3810</v>
      </c>
      <c r="P193" s="388">
        <v>7.0000000000000001E-3</v>
      </c>
      <c r="Q193" s="420"/>
      <c r="R193" s="417"/>
      <c r="S193" s="292"/>
      <c r="T193" s="292" t="s">
        <v>127</v>
      </c>
      <c r="U193" s="292" t="s">
        <v>3840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2940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3793</v>
      </c>
      <c r="B194" s="104" t="s">
        <v>4385</v>
      </c>
      <c r="C194" s="122" t="s">
        <v>4386</v>
      </c>
      <c r="D194" s="292">
        <v>4858869</v>
      </c>
      <c r="E194" s="292" t="s">
        <v>46</v>
      </c>
      <c r="F194" s="292" t="s">
        <v>20</v>
      </c>
      <c r="G194" s="292" t="s">
        <v>3640</v>
      </c>
      <c r="H194" s="292" t="str">
        <f>IFERROR(VLOOKUP(G194,'Cadastro de assessores'!A:B,2,FALSE),"Não Cadastrado")</f>
        <v>14574</v>
      </c>
      <c r="I194" s="292"/>
      <c r="J194" s="24" t="s">
        <v>125</v>
      </c>
      <c r="K194" s="292" t="s">
        <v>3802</v>
      </c>
      <c r="L194" s="387">
        <v>44238</v>
      </c>
      <c r="M194" s="387">
        <v>44238</v>
      </c>
      <c r="N194" s="391">
        <v>44504</v>
      </c>
      <c r="O194" s="299" t="s">
        <v>3797</v>
      </c>
      <c r="P194" s="388">
        <v>0.02</v>
      </c>
      <c r="Q194" s="167" t="s">
        <v>4387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171</v>
      </c>
      <c r="U194" s="292" t="s">
        <v>3941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2940</v>
      </c>
      <c r="BE194" s="339" t="s">
        <v>2940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3793</v>
      </c>
      <c r="B195" s="104" t="s">
        <v>4388</v>
      </c>
      <c r="C195" s="122" t="s">
        <v>4389</v>
      </c>
      <c r="D195" s="450">
        <v>6480547</v>
      </c>
      <c r="E195" s="292" t="s">
        <v>19</v>
      </c>
      <c r="F195" s="292" t="s">
        <v>66</v>
      </c>
      <c r="G195" s="292" t="s">
        <v>316</v>
      </c>
      <c r="H195" s="292" t="str">
        <f>IFERROR(VLOOKUP(G195,'Cadastro de assessores'!A:B,2,FALSE),"Não Cadastrado")</f>
        <v>18009</v>
      </c>
      <c r="I195" s="292"/>
      <c r="J195" s="24" t="s">
        <v>125</v>
      </c>
      <c r="K195" s="292" t="s">
        <v>145</v>
      </c>
      <c r="L195" s="292" t="s">
        <v>3154</v>
      </c>
      <c r="M195" s="387">
        <v>44824</v>
      </c>
      <c r="N195" s="391">
        <v>44886</v>
      </c>
      <c r="O195" s="299" t="s">
        <v>3810</v>
      </c>
      <c r="P195" s="388">
        <v>0.01</v>
      </c>
      <c r="Q195" s="167" t="s">
        <v>4390</v>
      </c>
      <c r="R195" s="417"/>
      <c r="S195" s="292"/>
      <c r="T195" s="299"/>
      <c r="U195" s="299"/>
      <c r="V195" s="299" t="s">
        <v>3154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3793</v>
      </c>
      <c r="B196" s="104" t="s">
        <v>4388</v>
      </c>
      <c r="C196" s="122" t="s">
        <v>4389</v>
      </c>
      <c r="D196" s="450">
        <v>9206177</v>
      </c>
      <c r="E196" s="292" t="s">
        <v>19</v>
      </c>
      <c r="F196" s="292" t="s">
        <v>66</v>
      </c>
      <c r="G196" s="292" t="s">
        <v>316</v>
      </c>
      <c r="H196" s="292" t="str">
        <f>IFERROR(VLOOKUP(G196,'Cadastro de assessores'!A:B,2,FALSE),"Não Cadastrado")</f>
        <v>18009</v>
      </c>
      <c r="I196" s="292"/>
      <c r="J196" s="24" t="s">
        <v>125</v>
      </c>
      <c r="K196" s="292" t="s">
        <v>134</v>
      </c>
      <c r="L196" s="292" t="s">
        <v>3154</v>
      </c>
      <c r="M196" s="387">
        <v>44839</v>
      </c>
      <c r="N196" s="391">
        <v>44886</v>
      </c>
      <c r="O196" s="299" t="s">
        <v>3817</v>
      </c>
      <c r="P196" s="388">
        <v>2.5000000000000001E-2</v>
      </c>
      <c r="Q196" s="167" t="s">
        <v>4391</v>
      </c>
      <c r="R196" s="417"/>
      <c r="S196" s="292"/>
      <c r="T196" s="299"/>
      <c r="U196" s="299"/>
      <c r="V196" s="299" t="s">
        <v>3154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3793</v>
      </c>
      <c r="B197" s="104" t="s">
        <v>4392</v>
      </c>
      <c r="C197" s="451" t="s">
        <v>4393</v>
      </c>
      <c r="D197" s="292">
        <v>3373338</v>
      </c>
      <c r="E197" s="292" t="s">
        <v>19</v>
      </c>
      <c r="F197" s="292" t="s">
        <v>66</v>
      </c>
      <c r="G197" s="292" t="s">
        <v>4142</v>
      </c>
      <c r="H197" s="292" t="str">
        <f>IFERROR(VLOOKUP(G197,'Cadastro de assessores'!A:B,2,FALSE),"Não Cadastrado")</f>
        <v>14294</v>
      </c>
      <c r="I197" s="292"/>
      <c r="J197" s="24" t="s">
        <v>125</v>
      </c>
      <c r="K197" s="292" t="s">
        <v>3802</v>
      </c>
      <c r="L197" s="387">
        <v>44454</v>
      </c>
      <c r="M197" s="387">
        <v>44454</v>
      </c>
      <c r="N197" s="391">
        <v>44684</v>
      </c>
      <c r="O197" s="299" t="s">
        <v>3810</v>
      </c>
      <c r="P197" s="388">
        <v>7.0000000000000001E-3</v>
      </c>
      <c r="Q197" s="167" t="s">
        <v>4394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171</v>
      </c>
      <c r="U197" s="299" t="s">
        <v>4395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2940</v>
      </c>
      <c r="BE197" s="339" t="s">
        <v>2940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3793</v>
      </c>
      <c r="B198" s="104" t="s">
        <v>4396</v>
      </c>
      <c r="C198" s="122" t="s">
        <v>4397</v>
      </c>
      <c r="D198" s="292">
        <v>4769682</v>
      </c>
      <c r="E198" s="292" t="s">
        <v>46</v>
      </c>
      <c r="F198" s="292" t="s">
        <v>20</v>
      </c>
      <c r="G198" s="292" t="s">
        <v>3640</v>
      </c>
      <c r="H198" s="292" t="str">
        <f>IFERROR(VLOOKUP(G198,'Cadastro de assessores'!A:B,2,FALSE),"Não Cadastrado")</f>
        <v>14574</v>
      </c>
      <c r="I198" s="292"/>
      <c r="J198" s="24" t="s">
        <v>125</v>
      </c>
      <c r="K198" s="292" t="s">
        <v>3802</v>
      </c>
      <c r="L198" s="387">
        <v>44238</v>
      </c>
      <c r="M198" s="387">
        <v>44238</v>
      </c>
      <c r="N198" s="391">
        <v>44477</v>
      </c>
      <c r="O198" s="299" t="s">
        <v>3797</v>
      </c>
      <c r="P198" s="388">
        <v>0.02</v>
      </c>
      <c r="Q198" s="167" t="s">
        <v>4398</v>
      </c>
      <c r="R198" s="417"/>
      <c r="S198" s="292" t="str">
        <f t="shared" si="18"/>
        <v>Não Qualificado</v>
      </c>
      <c r="T198" s="292" t="s">
        <v>127</v>
      </c>
      <c r="U198" s="292" t="s">
        <v>3819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2940</v>
      </c>
      <c r="BE198" s="339" t="s">
        <v>2940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3793</v>
      </c>
      <c r="B199" s="104" t="s">
        <v>4396</v>
      </c>
      <c r="C199" s="122" t="s">
        <v>4397</v>
      </c>
      <c r="D199" s="292">
        <v>4756217</v>
      </c>
      <c r="E199" s="292" t="s">
        <v>46</v>
      </c>
      <c r="F199" s="292" t="s">
        <v>20</v>
      </c>
      <c r="G199" s="292" t="s">
        <v>3640</v>
      </c>
      <c r="H199" s="292" t="str">
        <f>IFERROR(VLOOKUP(G199,'Cadastro de assessores'!A:B,2,FALSE),"Não Cadastrado")</f>
        <v>14574</v>
      </c>
      <c r="I199" s="292"/>
      <c r="J199" s="24" t="s">
        <v>125</v>
      </c>
      <c r="K199" s="292" t="s">
        <v>3802</v>
      </c>
      <c r="L199" s="387">
        <v>44228</v>
      </c>
      <c r="M199" s="387">
        <v>44228</v>
      </c>
      <c r="N199" s="391">
        <v>44721</v>
      </c>
      <c r="O199" s="299" t="s">
        <v>3797</v>
      </c>
      <c r="P199" s="388">
        <v>0.02</v>
      </c>
      <c r="Q199" s="420" t="s">
        <v>4399</v>
      </c>
      <c r="R199" s="417"/>
      <c r="S199" s="292" t="str">
        <f t="shared" si="18"/>
        <v>Não Qualificado</v>
      </c>
      <c r="T199" s="292" t="s">
        <v>127</v>
      </c>
      <c r="U199" s="292" t="s">
        <v>3819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2940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3793</v>
      </c>
      <c r="B200" s="104" t="s">
        <v>4400</v>
      </c>
      <c r="C200" s="441" t="s">
        <v>4401</v>
      </c>
      <c r="D200" s="299">
        <v>2476582</v>
      </c>
      <c r="E200" s="293" t="s">
        <v>19</v>
      </c>
      <c r="F200" s="293" t="s">
        <v>66</v>
      </c>
      <c r="G200" s="293" t="s">
        <v>144</v>
      </c>
      <c r="H200" s="292">
        <f>IFERROR(VLOOKUP(G200,'Cadastro de assessores'!A:B,2,FALSE),"Não Cadastrado")</f>
        <v>12331</v>
      </c>
      <c r="I200" s="292"/>
      <c r="J200" s="24" t="s">
        <v>3796</v>
      </c>
      <c r="K200" s="293" t="s">
        <v>134</v>
      </c>
      <c r="L200" s="416">
        <v>44683</v>
      </c>
      <c r="M200" s="416">
        <v>44697</v>
      </c>
      <c r="N200" s="299"/>
      <c r="O200" s="299" t="s">
        <v>3813</v>
      </c>
      <c r="P200" s="392">
        <v>1.2E-2</v>
      </c>
      <c r="Q200" s="420" t="s">
        <v>4402</v>
      </c>
      <c r="R200" s="417"/>
      <c r="S200" s="292"/>
      <c r="T200" s="292" t="s">
        <v>127</v>
      </c>
      <c r="U200" s="292"/>
      <c r="V200" s="292" t="s">
        <v>66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3793</v>
      </c>
      <c r="B201" s="104" t="s">
        <v>1223</v>
      </c>
      <c r="C201" s="441" t="s">
        <v>1221</v>
      </c>
      <c r="D201" s="299">
        <v>3353688</v>
      </c>
      <c r="E201" s="293" t="s">
        <v>19</v>
      </c>
      <c r="F201" s="293" t="s">
        <v>20</v>
      </c>
      <c r="G201" s="293" t="s">
        <v>360</v>
      </c>
      <c r="H201" s="292">
        <f>IFERROR(VLOOKUP(G201,'Cadastro de assessores'!A:B,2,FALSE),"Não Cadastrado")</f>
        <v>12359</v>
      </c>
      <c r="I201" s="292"/>
      <c r="J201" s="24" t="s">
        <v>3796</v>
      </c>
      <c r="K201" s="293" t="s">
        <v>134</v>
      </c>
      <c r="L201" s="416">
        <v>44778</v>
      </c>
      <c r="M201" s="416">
        <v>44778</v>
      </c>
      <c r="N201" s="299"/>
      <c r="O201" s="299" t="s">
        <v>3810</v>
      </c>
      <c r="P201" s="392">
        <v>7.0000000000000001E-3</v>
      </c>
      <c r="Q201" s="446" t="s">
        <v>4403</v>
      </c>
      <c r="R201" s="417"/>
      <c r="S201" s="292"/>
      <c r="T201" s="292" t="s">
        <v>171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3793</v>
      </c>
      <c r="B202" s="104" t="s">
        <v>4404</v>
      </c>
      <c r="C202" s="441" t="s">
        <v>4405</v>
      </c>
      <c r="D202" s="299">
        <v>7082227</v>
      </c>
      <c r="E202" s="293" t="s">
        <v>19</v>
      </c>
      <c r="F202" s="293" t="s">
        <v>66</v>
      </c>
      <c r="G202" s="293" t="s">
        <v>316</v>
      </c>
      <c r="H202" s="293" t="str">
        <f>IFERROR(VLOOKUP(G202,'Cadastro de assessores'!A:B,2,FALSE),"Não Cadastrado")</f>
        <v>18009</v>
      </c>
      <c r="I202" s="293"/>
      <c r="J202" s="24" t="s">
        <v>3796</v>
      </c>
      <c r="K202" s="293" t="s">
        <v>134</v>
      </c>
      <c r="L202" s="416">
        <v>44509</v>
      </c>
      <c r="M202" s="416">
        <v>44511</v>
      </c>
      <c r="N202" s="299"/>
      <c r="O202" s="299" t="s">
        <v>3803</v>
      </c>
      <c r="P202" s="392">
        <v>1.4999999999999999E-2</v>
      </c>
      <c r="Q202" s="420" t="s">
        <v>4406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127</v>
      </c>
      <c r="U202" s="292" t="s">
        <v>3975</v>
      </c>
      <c r="V202" s="292" t="s">
        <v>66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3793</v>
      </c>
      <c r="B203" s="104" t="s">
        <v>4407</v>
      </c>
      <c r="C203" s="104" t="s">
        <v>4408</v>
      </c>
      <c r="D203" s="292">
        <v>7998405</v>
      </c>
      <c r="E203" s="293" t="s">
        <v>19</v>
      </c>
      <c r="F203" s="293" t="s">
        <v>20</v>
      </c>
      <c r="G203" s="293" t="s">
        <v>184</v>
      </c>
      <c r="H203" s="293">
        <f>IFERROR(VLOOKUP(G203,'Cadastro de assessores'!A:B,2,FALSE),"Não Cadastrado")</f>
        <v>12332</v>
      </c>
      <c r="I203" s="293"/>
      <c r="J203" s="24" t="s">
        <v>3796</v>
      </c>
      <c r="K203" s="293" t="s">
        <v>134</v>
      </c>
      <c r="L203" s="423">
        <v>44613</v>
      </c>
      <c r="M203" s="423">
        <v>44615</v>
      </c>
      <c r="N203" s="292"/>
      <c r="O203" s="292" t="s">
        <v>3810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127</v>
      </c>
      <c r="U203" s="292" t="s">
        <v>3937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3793</v>
      </c>
      <c r="B204" s="104" t="s">
        <v>3190</v>
      </c>
      <c r="C204" s="104" t="s">
        <v>3188</v>
      </c>
      <c r="D204" s="292">
        <v>4798641</v>
      </c>
      <c r="E204" s="293" t="s">
        <v>19</v>
      </c>
      <c r="F204" s="293" t="s">
        <v>20</v>
      </c>
      <c r="G204" s="293" t="s">
        <v>2518</v>
      </c>
      <c r="H204" s="293" t="str">
        <f>IFERROR(VLOOKUP(G204,'Cadastro de assessores'!A:B,2,FALSE),"Não Cadastrado")</f>
        <v>18256</v>
      </c>
      <c r="I204" s="293"/>
      <c r="J204" s="24" t="s">
        <v>3796</v>
      </c>
      <c r="K204" s="293" t="s">
        <v>134</v>
      </c>
      <c r="L204" s="415">
        <v>44293</v>
      </c>
      <c r="M204" s="415">
        <v>44291</v>
      </c>
      <c r="N204" s="292"/>
      <c r="O204" s="292" t="s">
        <v>3803</v>
      </c>
      <c r="P204" s="388">
        <v>0.01</v>
      </c>
      <c r="Q204" s="420" t="s">
        <v>3886</v>
      </c>
      <c r="R204" s="417"/>
      <c r="S204" s="292" t="str">
        <f t="shared" si="19"/>
        <v>Não Qualificado</v>
      </c>
      <c r="T204" s="292" t="s">
        <v>127</v>
      </c>
      <c r="U204" s="292" t="s">
        <v>4186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3154</v>
      </c>
      <c r="AN204" s="339" t="s">
        <v>3154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3793</v>
      </c>
      <c r="B205" s="104" t="s">
        <v>4409</v>
      </c>
      <c r="C205" s="122" t="s">
        <v>4410</v>
      </c>
      <c r="D205" s="292">
        <v>4833105</v>
      </c>
      <c r="E205" s="292" t="s">
        <v>19</v>
      </c>
      <c r="F205" s="292" t="s">
        <v>20</v>
      </c>
      <c r="G205" s="292" t="s">
        <v>3801</v>
      </c>
      <c r="H205" s="292" t="str">
        <f>IFERROR(VLOOKUP(G205,'Cadastro de assessores'!A:B,2,FALSE),"Não Cadastrado")</f>
        <v>17679</v>
      </c>
      <c r="I205" s="292"/>
      <c r="J205" s="24" t="s">
        <v>125</v>
      </c>
      <c r="K205" s="292" t="s">
        <v>3802</v>
      </c>
      <c r="L205" s="387">
        <v>44231</v>
      </c>
      <c r="M205" s="387">
        <v>44231</v>
      </c>
      <c r="N205" s="419">
        <v>44518</v>
      </c>
      <c r="O205" s="292" t="s">
        <v>3813</v>
      </c>
      <c r="P205" s="388">
        <v>1.2E-2</v>
      </c>
      <c r="Q205" s="167" t="s">
        <v>4411</v>
      </c>
      <c r="R205" s="417"/>
      <c r="S205" s="292" t="str">
        <f t="shared" si="19"/>
        <v>Não Qualificado</v>
      </c>
      <c r="T205" s="292" t="s">
        <v>127</v>
      </c>
      <c r="U205" s="292" t="s">
        <v>3840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2940</v>
      </c>
      <c r="BE205" s="339" t="s">
        <v>2940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3793</v>
      </c>
      <c r="B206" s="104" t="s">
        <v>4412</v>
      </c>
      <c r="C206" s="390" t="s">
        <v>4413</v>
      </c>
      <c r="D206" s="299">
        <v>8118134</v>
      </c>
      <c r="E206" s="293" t="s">
        <v>46</v>
      </c>
      <c r="F206" s="293" t="s">
        <v>20</v>
      </c>
      <c r="G206" s="293" t="s">
        <v>3884</v>
      </c>
      <c r="H206" s="299">
        <f>IFERROR(VLOOKUP(G206,'Cadastro de assessores'!A:B,2,FALSE),"Não Cadastrado")</f>
        <v>12356</v>
      </c>
      <c r="I206" s="299"/>
      <c r="J206" s="24" t="s">
        <v>3796</v>
      </c>
      <c r="K206" s="293" t="s">
        <v>134</v>
      </c>
      <c r="L206" s="415">
        <v>44686</v>
      </c>
      <c r="M206" s="415">
        <v>44685</v>
      </c>
      <c r="N206" s="299"/>
      <c r="O206" s="299" t="s">
        <v>4414</v>
      </c>
      <c r="P206" s="388">
        <v>1.4999999999999999E-2</v>
      </c>
      <c r="Q206" s="167" t="s">
        <v>4415</v>
      </c>
      <c r="R206" s="417"/>
      <c r="S206" s="292" t="str">
        <f t="shared" si="19"/>
        <v/>
      </c>
      <c r="T206" s="292" t="s">
        <v>127</v>
      </c>
      <c r="U206" s="299" t="s">
        <v>3824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3793</v>
      </c>
      <c r="B207" s="104" t="s">
        <v>4416</v>
      </c>
      <c r="C207" s="304" t="s">
        <v>4417</v>
      </c>
      <c r="D207" s="307">
        <v>5998094</v>
      </c>
      <c r="E207" s="292" t="s">
        <v>19</v>
      </c>
      <c r="F207" s="292" t="s">
        <v>66</v>
      </c>
      <c r="G207" s="292" t="s">
        <v>316</v>
      </c>
      <c r="H207" s="292" t="str">
        <f>IFERROR(VLOOKUP(G207,'Cadastro de assessores'!A:B,2,FALSE),"Não Cadastrado")</f>
        <v>18009</v>
      </c>
      <c r="I207" s="292"/>
      <c r="J207" s="24" t="s">
        <v>125</v>
      </c>
      <c r="K207" s="292" t="s">
        <v>3802</v>
      </c>
      <c r="L207" s="387">
        <v>44462</v>
      </c>
      <c r="M207" s="387">
        <v>44462</v>
      </c>
      <c r="N207" s="387">
        <v>44676</v>
      </c>
      <c r="O207" s="292" t="s">
        <v>3803</v>
      </c>
      <c r="P207" s="392">
        <v>1.4999999999999999E-2</v>
      </c>
      <c r="Q207" s="311" t="s">
        <v>4418</v>
      </c>
      <c r="R207" s="417"/>
      <c r="S207" s="292" t="str">
        <f t="shared" si="19"/>
        <v>Não Qualificado</v>
      </c>
      <c r="T207" s="292" t="s">
        <v>127</v>
      </c>
      <c r="U207" s="299" t="s">
        <v>3891</v>
      </c>
      <c r="V207" s="292" t="s">
        <v>3892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2940</v>
      </c>
      <c r="BE207" s="339" t="s">
        <v>2940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3793</v>
      </c>
      <c r="B208" s="104" t="s">
        <v>4419</v>
      </c>
      <c r="C208" s="390" t="s">
        <v>4420</v>
      </c>
      <c r="D208" s="299">
        <v>3712007</v>
      </c>
      <c r="E208" s="292" t="s">
        <v>19</v>
      </c>
      <c r="F208" s="292" t="s">
        <v>66</v>
      </c>
      <c r="G208" s="292" t="s">
        <v>316</v>
      </c>
      <c r="H208" s="292" t="str">
        <f>IFERROR(VLOOKUP(G208,'Cadastro de assessores'!A:B,2,FALSE),"Não Cadastrado")</f>
        <v>18009</v>
      </c>
      <c r="I208" s="292"/>
      <c r="J208" s="24" t="s">
        <v>125</v>
      </c>
      <c r="K208" s="292" t="s">
        <v>3802</v>
      </c>
      <c r="L208" s="292" t="s">
        <v>3154</v>
      </c>
      <c r="M208" s="292" t="s">
        <v>3154</v>
      </c>
      <c r="N208" s="391">
        <v>44404</v>
      </c>
      <c r="O208" s="299" t="s">
        <v>3803</v>
      </c>
      <c r="P208" s="392">
        <v>1.4999999999999999E-2</v>
      </c>
      <c r="Q208" s="167" t="s">
        <v>4421</v>
      </c>
      <c r="R208" s="417"/>
      <c r="S208" s="292" t="str">
        <f t="shared" si="19"/>
        <v>Não Qualificado</v>
      </c>
      <c r="T208" s="292" t="s">
        <v>127</v>
      </c>
      <c r="U208" s="299" t="s">
        <v>3854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2940</v>
      </c>
      <c r="BE208" s="339" t="s">
        <v>2940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3793</v>
      </c>
      <c r="B209" s="104" t="s">
        <v>4422</v>
      </c>
      <c r="C209" s="390" t="s">
        <v>4423</v>
      </c>
      <c r="D209" s="299">
        <v>3919372</v>
      </c>
      <c r="E209" s="292" t="s">
        <v>19</v>
      </c>
      <c r="F209" s="292" t="s">
        <v>66</v>
      </c>
      <c r="G209" s="292" t="s">
        <v>316</v>
      </c>
      <c r="H209" s="299" t="str">
        <f>IFERROR(VLOOKUP(G209,'Cadastro de assessores'!A:B,2,FALSE),"Não Cadastrado")</f>
        <v>18009</v>
      </c>
      <c r="I209" s="299"/>
      <c r="J209" s="24" t="s">
        <v>125</v>
      </c>
      <c r="K209" s="292" t="s">
        <v>3802</v>
      </c>
      <c r="L209" s="387">
        <v>44413</v>
      </c>
      <c r="M209" s="387">
        <v>44413</v>
      </c>
      <c r="N209" s="299"/>
      <c r="O209" s="299" t="s">
        <v>3817</v>
      </c>
      <c r="P209" s="388">
        <v>2.5000000000000001E-2</v>
      </c>
      <c r="Q209" s="167" t="s">
        <v>4424</v>
      </c>
      <c r="R209" s="417"/>
      <c r="S209" s="292" t="str">
        <f t="shared" si="19"/>
        <v>Não Qualificado</v>
      </c>
      <c r="T209" s="292" t="s">
        <v>127</v>
      </c>
      <c r="U209" s="299" t="s">
        <v>3854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2940</v>
      </c>
      <c r="BE209" s="339" t="s">
        <v>2940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3793</v>
      </c>
      <c r="B210" s="104" t="s">
        <v>4425</v>
      </c>
      <c r="C210" s="122" t="s">
        <v>4426</v>
      </c>
      <c r="D210" s="292">
        <v>2466854</v>
      </c>
      <c r="E210" s="292" t="s">
        <v>2931</v>
      </c>
      <c r="F210" s="292" t="s">
        <v>20</v>
      </c>
      <c r="G210" s="292" t="s">
        <v>2931</v>
      </c>
      <c r="H210" s="292" t="str">
        <f>IFERROR(VLOOKUP(G210,'Cadastro de assessores'!A:B,2,FALSE),"Não Cadastrado")</f>
        <v>18986</v>
      </c>
      <c r="I210" s="292"/>
      <c r="J210" s="24" t="s">
        <v>125</v>
      </c>
      <c r="K210" s="292" t="s">
        <v>3802</v>
      </c>
      <c r="L210" s="387">
        <v>43696</v>
      </c>
      <c r="M210" s="387">
        <v>43696</v>
      </c>
      <c r="N210" s="387">
        <v>44091</v>
      </c>
      <c r="O210" s="292" t="s">
        <v>3803</v>
      </c>
      <c r="P210" s="388">
        <v>0.01</v>
      </c>
      <c r="Q210" s="420" t="s">
        <v>4427</v>
      </c>
      <c r="R210" s="417"/>
      <c r="S210" s="292" t="str">
        <f t="shared" si="19"/>
        <v/>
      </c>
      <c r="T210" s="292" t="s">
        <v>127</v>
      </c>
      <c r="U210" s="292" t="s">
        <v>3819</v>
      </c>
      <c r="V210" s="292" t="s">
        <v>20</v>
      </c>
      <c r="W210" s="418" t="s">
        <v>4428</v>
      </c>
      <c r="X210" s="418"/>
      <c r="Y210" s="418" t="s">
        <v>4429</v>
      </c>
      <c r="Z210" s="418" t="s">
        <v>4430</v>
      </c>
      <c r="AA210" s="418" t="s">
        <v>4431</v>
      </c>
      <c r="AB210" s="418" t="s">
        <v>4432</v>
      </c>
      <c r="AC210" s="418" t="s">
        <v>4433</v>
      </c>
      <c r="AD210" s="418" t="s">
        <v>4434</v>
      </c>
      <c r="AE210" s="418" t="s">
        <v>4435</v>
      </c>
      <c r="AF210" s="418" t="s">
        <v>4436</v>
      </c>
      <c r="AG210" s="418" t="s">
        <v>4437</v>
      </c>
      <c r="AH210" s="418"/>
      <c r="AI210" s="418" t="s">
        <v>4438</v>
      </c>
      <c r="AJ210" s="418"/>
      <c r="AK210" s="339"/>
      <c r="AL210" s="339">
        <v>214.15</v>
      </c>
      <c r="AM210" s="339" t="s">
        <v>3154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2940</v>
      </c>
      <c r="BE210" s="339" t="s">
        <v>2940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3793</v>
      </c>
      <c r="B211" s="104" t="s">
        <v>652</v>
      </c>
      <c r="C211" s="122" t="s">
        <v>651</v>
      </c>
      <c r="D211" s="292">
        <v>2172585</v>
      </c>
      <c r="E211" s="293" t="s">
        <v>19</v>
      </c>
      <c r="F211" s="293" t="s">
        <v>20</v>
      </c>
      <c r="G211" s="293" t="s">
        <v>651</v>
      </c>
      <c r="H211" s="293"/>
      <c r="I211" s="293"/>
      <c r="J211" s="24" t="s">
        <v>3796</v>
      </c>
      <c r="K211" s="292"/>
      <c r="L211" s="292"/>
      <c r="M211" s="292"/>
      <c r="N211" s="292"/>
      <c r="O211" s="292" t="s">
        <v>3803</v>
      </c>
      <c r="P211" s="428">
        <v>1.2E-2</v>
      </c>
      <c r="Q211" s="420" t="s">
        <v>3886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3793</v>
      </c>
      <c r="B212" s="104" t="s">
        <v>4439</v>
      </c>
      <c r="C212" s="122" t="s">
        <v>4440</v>
      </c>
      <c r="D212" s="292">
        <v>2566765</v>
      </c>
      <c r="E212" s="293" t="s">
        <v>19</v>
      </c>
      <c r="F212" s="293" t="s">
        <v>20</v>
      </c>
      <c r="G212" s="293" t="s">
        <v>2518</v>
      </c>
      <c r="H212" s="293" t="str">
        <f>IFERROR(VLOOKUP(G212,'Cadastro de assessores'!A:B,2,FALSE),"Não Cadastrado")</f>
        <v>18256</v>
      </c>
      <c r="I212" s="293"/>
      <c r="J212" s="24" t="s">
        <v>3796</v>
      </c>
      <c r="K212" s="292" t="s">
        <v>145</v>
      </c>
      <c r="L212" s="292" t="s">
        <v>3154</v>
      </c>
      <c r="M212" s="436" t="s">
        <v>3644</v>
      </c>
      <c r="N212" s="292"/>
      <c r="O212" s="292" t="s">
        <v>3817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127</v>
      </c>
      <c r="U212" s="292" t="s">
        <v>3805</v>
      </c>
      <c r="V212" s="292" t="s">
        <v>20</v>
      </c>
      <c r="W212" s="418" t="s">
        <v>4441</v>
      </c>
      <c r="X212" s="418"/>
      <c r="Y212" s="418" t="s">
        <v>4442</v>
      </c>
      <c r="Z212" s="418" t="s">
        <v>4443</v>
      </c>
      <c r="AA212" s="418" t="s">
        <v>4444</v>
      </c>
      <c r="AB212" s="418" t="s">
        <v>4445</v>
      </c>
      <c r="AC212" s="418" t="s">
        <v>4446</v>
      </c>
      <c r="AD212" s="418" t="s">
        <v>4445</v>
      </c>
      <c r="AE212" s="418" t="s">
        <v>4445</v>
      </c>
      <c r="AF212" s="418" t="s">
        <v>4445</v>
      </c>
      <c r="AG212" s="418" t="s">
        <v>4447</v>
      </c>
      <c r="AH212" s="418" t="s">
        <v>4447</v>
      </c>
      <c r="AI212" s="418" t="s">
        <v>4448</v>
      </c>
      <c r="AJ212" s="418" t="s">
        <v>4448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2940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3793</v>
      </c>
      <c r="B213" s="104" t="s">
        <v>4449</v>
      </c>
      <c r="C213" s="452" t="s">
        <v>4450</v>
      </c>
      <c r="D213" s="299">
        <v>5092169</v>
      </c>
      <c r="E213" s="292" t="s">
        <v>19</v>
      </c>
      <c r="F213" s="292" t="s">
        <v>66</v>
      </c>
      <c r="G213" s="292" t="s">
        <v>316</v>
      </c>
      <c r="H213" s="292" t="str">
        <f>IFERROR(VLOOKUP(G213,'Cadastro de assessores'!A:B,2,FALSE),"Não Cadastrado")</f>
        <v>18009</v>
      </c>
      <c r="I213" s="292"/>
      <c r="J213" s="24" t="s">
        <v>125</v>
      </c>
      <c r="K213" s="292" t="s">
        <v>3802</v>
      </c>
      <c r="L213" s="387">
        <v>44287</v>
      </c>
      <c r="M213" s="387">
        <v>44287</v>
      </c>
      <c r="N213" s="387">
        <v>44805</v>
      </c>
      <c r="O213" s="292" t="s">
        <v>3803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127</v>
      </c>
      <c r="U213" s="299" t="s">
        <v>4231</v>
      </c>
      <c r="V213" s="299" t="s">
        <v>3653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3793</v>
      </c>
      <c r="B214" s="104" t="s">
        <v>4451</v>
      </c>
      <c r="C214" s="390" t="s">
        <v>4452</v>
      </c>
      <c r="D214" s="299">
        <v>5599106</v>
      </c>
      <c r="E214" s="292" t="s">
        <v>46</v>
      </c>
      <c r="F214" s="292" t="s">
        <v>20</v>
      </c>
      <c r="G214" s="292" t="s">
        <v>4112</v>
      </c>
      <c r="H214" s="292" t="str">
        <f>IFERROR(VLOOKUP(G214,'Cadastro de assessores'!A:B,2,FALSE),"Não Cadastrado")</f>
        <v>19157</v>
      </c>
      <c r="I214" s="292"/>
      <c r="J214" s="24" t="s">
        <v>125</v>
      </c>
      <c r="K214" s="292" t="s">
        <v>3802</v>
      </c>
      <c r="L214" s="387">
        <v>44368</v>
      </c>
      <c r="M214" s="387">
        <v>44368</v>
      </c>
      <c r="N214" s="447">
        <v>44494</v>
      </c>
      <c r="O214" s="299" t="s">
        <v>3817</v>
      </c>
      <c r="P214" s="388">
        <v>2.5000000000000001E-2</v>
      </c>
      <c r="Q214" s="420" t="s">
        <v>4453</v>
      </c>
      <c r="R214" s="417"/>
      <c r="S214" s="292" t="str">
        <f t="shared" si="20"/>
        <v>Não Qualificado</v>
      </c>
      <c r="T214" s="292" t="s">
        <v>127</v>
      </c>
      <c r="U214" s="299" t="s">
        <v>4454</v>
      </c>
      <c r="V214" s="299" t="s">
        <v>66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2940</v>
      </c>
      <c r="BE214" s="339" t="s">
        <v>2940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3793</v>
      </c>
      <c r="B215" s="104" t="s">
        <v>1286</v>
      </c>
      <c r="C215" s="122" t="s">
        <v>1283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3796</v>
      </c>
      <c r="K215" s="292"/>
      <c r="L215" s="387"/>
      <c r="M215" s="292" t="s">
        <v>4455</v>
      </c>
      <c r="N215" s="387"/>
      <c r="O215" s="292" t="s">
        <v>3810</v>
      </c>
      <c r="P215" s="388">
        <v>0</v>
      </c>
      <c r="Q215" s="420" t="s">
        <v>4456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3793</v>
      </c>
      <c r="B216" s="104" t="s">
        <v>4457</v>
      </c>
      <c r="C216" s="122" t="s">
        <v>4458</v>
      </c>
      <c r="D216" s="292">
        <v>4760280</v>
      </c>
      <c r="E216" s="292" t="s">
        <v>46</v>
      </c>
      <c r="F216" s="292" t="s">
        <v>20</v>
      </c>
      <c r="G216" s="292" t="s">
        <v>4459</v>
      </c>
      <c r="H216" s="292" t="str">
        <f>IFERROR(VLOOKUP(G216,'Cadastro de assessores'!A:B,2,FALSE),"Não Cadastrado")</f>
        <v>14091</v>
      </c>
      <c r="I216" s="292"/>
      <c r="J216" s="24" t="s">
        <v>125</v>
      </c>
      <c r="K216" s="292" t="s">
        <v>3802</v>
      </c>
      <c r="L216" s="387">
        <v>44211</v>
      </c>
      <c r="M216" s="387">
        <v>44211</v>
      </c>
      <c r="N216" s="387">
        <v>44781</v>
      </c>
      <c r="O216" s="292" t="s">
        <v>3817</v>
      </c>
      <c r="P216" s="388">
        <v>2.5000000000000001E-2</v>
      </c>
      <c r="Q216" s="420" t="s">
        <v>4460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127</v>
      </c>
      <c r="U216" s="292" t="s">
        <v>3824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3793</v>
      </c>
      <c r="B217" s="104" t="s">
        <v>4461</v>
      </c>
      <c r="C217" s="390" t="s">
        <v>4462</v>
      </c>
      <c r="D217" s="299">
        <v>2673476</v>
      </c>
      <c r="E217" s="293" t="s">
        <v>19</v>
      </c>
      <c r="F217" s="293" t="s">
        <v>66</v>
      </c>
      <c r="G217" s="293" t="s">
        <v>316</v>
      </c>
      <c r="H217" s="299" t="str">
        <f>IFERROR(VLOOKUP(G217,'Cadastro de assessores'!A:B,2,FALSE),"Não Cadastrado")</f>
        <v>18009</v>
      </c>
      <c r="I217" s="299"/>
      <c r="J217" s="24" t="s">
        <v>134</v>
      </c>
      <c r="K217" s="293" t="s">
        <v>134</v>
      </c>
      <c r="L217" s="415">
        <v>44405</v>
      </c>
      <c r="M217" s="415">
        <v>44405</v>
      </c>
      <c r="N217" s="299"/>
      <c r="O217" s="299" t="s">
        <v>3797</v>
      </c>
      <c r="P217" s="428">
        <v>0.02</v>
      </c>
      <c r="Q217" s="167"/>
      <c r="R217" s="417"/>
      <c r="S217" s="292" t="str">
        <f t="shared" si="21"/>
        <v/>
      </c>
      <c r="T217" s="292" t="s">
        <v>127</v>
      </c>
      <c r="U217" s="299" t="s">
        <v>3854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3793</v>
      </c>
      <c r="B218" s="104" t="s">
        <v>4463</v>
      </c>
      <c r="C218" s="122" t="s">
        <v>4464</v>
      </c>
      <c r="D218" s="292">
        <v>4398585</v>
      </c>
      <c r="E218" s="293" t="s">
        <v>46</v>
      </c>
      <c r="F218" s="293" t="s">
        <v>20</v>
      </c>
      <c r="G218" s="293" t="s">
        <v>325</v>
      </c>
      <c r="H218" s="293" t="str">
        <f>IFERROR(VLOOKUP(G218,'Cadastro de assessores'!A:B,2,FALSE),"Não Cadastrado")</f>
        <v>17896</v>
      </c>
      <c r="I218" s="293"/>
      <c r="J218" s="24" t="s">
        <v>3796</v>
      </c>
      <c r="K218" s="293" t="s">
        <v>134</v>
      </c>
      <c r="L218" s="415">
        <v>44098</v>
      </c>
      <c r="M218" s="415">
        <v>44102</v>
      </c>
      <c r="N218" s="292"/>
      <c r="O218" s="292" t="s">
        <v>4340</v>
      </c>
      <c r="P218" s="388">
        <v>2E-3</v>
      </c>
      <c r="Q218" s="420" t="s">
        <v>4465</v>
      </c>
      <c r="R218" s="417"/>
      <c r="S218" s="292" t="str">
        <f t="shared" si="21"/>
        <v/>
      </c>
      <c r="T218" s="292" t="s">
        <v>171</v>
      </c>
      <c r="U218" s="292" t="s">
        <v>3819</v>
      </c>
      <c r="V218" s="292" t="s">
        <v>20</v>
      </c>
      <c r="W218" s="418" t="s">
        <v>3806</v>
      </c>
      <c r="X218" s="418" t="s">
        <v>3806</v>
      </c>
      <c r="Y218" s="418" t="s">
        <v>3806</v>
      </c>
      <c r="Z218" s="418" t="s">
        <v>3806</v>
      </c>
      <c r="AA218" s="418" t="s">
        <v>3806</v>
      </c>
      <c r="AB218" s="418" t="s">
        <v>3806</v>
      </c>
      <c r="AC218" s="418" t="s">
        <v>3806</v>
      </c>
      <c r="AD218" s="418" t="s">
        <v>3806</v>
      </c>
      <c r="AE218" s="418" t="s">
        <v>3806</v>
      </c>
      <c r="AF218" s="418" t="s">
        <v>3806</v>
      </c>
      <c r="AG218" s="418" t="s">
        <v>3806</v>
      </c>
      <c r="AH218" s="418" t="s">
        <v>4466</v>
      </c>
      <c r="AI218" s="418" t="s">
        <v>4467</v>
      </c>
      <c r="AJ218" s="418" t="s">
        <v>4468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3793</v>
      </c>
      <c r="B219" s="104" t="s">
        <v>4469</v>
      </c>
      <c r="C219" s="390" t="s">
        <v>4470</v>
      </c>
      <c r="D219" s="299">
        <v>5975647</v>
      </c>
      <c r="E219" s="293" t="s">
        <v>19</v>
      </c>
      <c r="F219" s="293" t="s">
        <v>66</v>
      </c>
      <c r="G219" s="293" t="s">
        <v>316</v>
      </c>
      <c r="H219" s="299" t="str">
        <f>IFERROR(VLOOKUP(G219,'Cadastro de assessores'!A:B,2,FALSE),"Não Cadastrado")</f>
        <v>18009</v>
      </c>
      <c r="I219" s="299"/>
      <c r="J219" s="24" t="s">
        <v>3796</v>
      </c>
      <c r="K219" s="292" t="s">
        <v>134</v>
      </c>
      <c r="L219" s="415">
        <v>44403</v>
      </c>
      <c r="M219" s="415">
        <v>44405</v>
      </c>
      <c r="N219" s="292"/>
      <c r="O219" s="292" t="s">
        <v>3803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127</v>
      </c>
      <c r="U219" s="299" t="s">
        <v>3854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3793</v>
      </c>
      <c r="B220" s="104" t="s">
        <v>4471</v>
      </c>
      <c r="C220" s="88" t="s">
        <v>4472</v>
      </c>
      <c r="D220" s="7">
        <v>7000733</v>
      </c>
      <c r="E220" s="9" t="s">
        <v>19</v>
      </c>
      <c r="F220" s="9" t="s">
        <v>66</v>
      </c>
      <c r="G220" s="9" t="s">
        <v>316</v>
      </c>
      <c r="H220" s="7" t="str">
        <f>IFERROR(VLOOKUP(G220,'Cadastro de assessores'!A:B,2,FALSE),"Não Cadastrado")</f>
        <v>18009</v>
      </c>
      <c r="I220" s="7"/>
      <c r="J220" s="24" t="s">
        <v>3796</v>
      </c>
      <c r="K220" s="202" t="s">
        <v>134</v>
      </c>
      <c r="L220" s="453">
        <v>44712</v>
      </c>
      <c r="M220" s="232">
        <v>44712</v>
      </c>
      <c r="N220" s="6"/>
      <c r="O220" s="6" t="s">
        <v>4473</v>
      </c>
      <c r="P220" s="26">
        <v>1.2E-2</v>
      </c>
      <c r="Q220" s="454" t="s">
        <v>4474</v>
      </c>
      <c r="R220" s="256"/>
      <c r="S220" s="6" t="str">
        <f t="shared" si="21"/>
        <v/>
      </c>
      <c r="T220" s="6" t="s">
        <v>171</v>
      </c>
      <c r="U220" s="7" t="s">
        <v>4475</v>
      </c>
      <c r="V220" s="7" t="s">
        <v>66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3793</v>
      </c>
      <c r="B221" s="104" t="s">
        <v>4471</v>
      </c>
      <c r="C221" s="390" t="s">
        <v>4476</v>
      </c>
      <c r="D221" s="299">
        <v>9020656</v>
      </c>
      <c r="E221" s="293" t="s">
        <v>19</v>
      </c>
      <c r="F221" s="293" t="s">
        <v>66</v>
      </c>
      <c r="G221" s="9" t="s">
        <v>316</v>
      </c>
      <c r="H221" s="293" t="str">
        <f>IFERROR(VLOOKUP(G221,'Cadastro de assessores'!A:B,2,FALSE),"Não Cadastrado")</f>
        <v>18009</v>
      </c>
      <c r="I221" s="293"/>
      <c r="J221" s="24" t="s">
        <v>3796</v>
      </c>
      <c r="K221" s="293" t="s">
        <v>145</v>
      </c>
      <c r="L221" s="457">
        <v>44845</v>
      </c>
      <c r="M221" s="457">
        <v>44858</v>
      </c>
      <c r="N221" s="426"/>
      <c r="O221" s="426" t="s">
        <v>3813</v>
      </c>
      <c r="P221" s="428">
        <v>7.0000000000000001E-3</v>
      </c>
      <c r="Q221" s="167" t="s">
        <v>4477</v>
      </c>
      <c r="R221" s="417"/>
      <c r="S221" s="292" t="str">
        <f t="shared" si="21"/>
        <v/>
      </c>
      <c r="T221" s="299" t="s">
        <v>127</v>
      </c>
      <c r="U221" s="292" t="s">
        <v>3849</v>
      </c>
      <c r="V221" s="292" t="s">
        <v>66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3793</v>
      </c>
      <c r="B222" s="104" t="s">
        <v>4478</v>
      </c>
      <c r="C222" s="122" t="s">
        <v>4479</v>
      </c>
      <c r="D222" s="292">
        <v>4550654</v>
      </c>
      <c r="E222" s="292" t="s">
        <v>46</v>
      </c>
      <c r="F222" s="292" t="s">
        <v>20</v>
      </c>
      <c r="G222" s="292" t="s">
        <v>4480</v>
      </c>
      <c r="H222" s="292" t="str">
        <f>IFERROR(VLOOKUP(G222,'Cadastro de assessores'!A:B,2,FALSE),"Não Cadastrado")</f>
        <v>14244</v>
      </c>
      <c r="I222" s="292"/>
      <c r="J222" s="24" t="s">
        <v>125</v>
      </c>
      <c r="K222" s="292" t="s">
        <v>3802</v>
      </c>
      <c r="L222" s="419">
        <v>44160</v>
      </c>
      <c r="M222" s="419">
        <v>44160</v>
      </c>
      <c r="N222" s="387">
        <v>44270</v>
      </c>
      <c r="O222" s="292" t="s">
        <v>3797</v>
      </c>
      <c r="P222" s="388">
        <v>0.02</v>
      </c>
      <c r="Q222" s="420" t="s">
        <v>4481</v>
      </c>
      <c r="R222" s="417"/>
      <c r="S222" s="292" t="str">
        <f t="shared" si="21"/>
        <v/>
      </c>
      <c r="T222" s="299" t="s">
        <v>127</v>
      </c>
      <c r="U222" s="292" t="s">
        <v>3819</v>
      </c>
      <c r="V222" s="292" t="s">
        <v>20</v>
      </c>
      <c r="W222" s="418" t="s">
        <v>3806</v>
      </c>
      <c r="X222" s="418" t="s">
        <v>3806</v>
      </c>
      <c r="Y222" s="418" t="s">
        <v>3806</v>
      </c>
      <c r="Z222" s="418" t="s">
        <v>3806</v>
      </c>
      <c r="AA222" s="418" t="s">
        <v>3806</v>
      </c>
      <c r="AB222" s="418" t="s">
        <v>3806</v>
      </c>
      <c r="AC222" s="418" t="s">
        <v>3806</v>
      </c>
      <c r="AD222" s="418" t="s">
        <v>3806</v>
      </c>
      <c r="AE222" s="418" t="s">
        <v>3806</v>
      </c>
      <c r="AF222" s="418" t="s">
        <v>3806</v>
      </c>
      <c r="AG222" s="418" t="s">
        <v>3806</v>
      </c>
      <c r="AH222" s="418" t="s">
        <v>3806</v>
      </c>
      <c r="AI222" s="418" t="s">
        <v>3806</v>
      </c>
      <c r="AJ222" s="418" t="s">
        <v>4482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2940</v>
      </c>
      <c r="BE222" s="339" t="s">
        <v>2940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3793</v>
      </c>
      <c r="B223" s="104" t="s">
        <v>4483</v>
      </c>
      <c r="C223" s="122" t="s">
        <v>4484</v>
      </c>
      <c r="D223" s="292">
        <v>3939462</v>
      </c>
      <c r="E223" s="292" t="s">
        <v>2931</v>
      </c>
      <c r="F223" s="292" t="s">
        <v>20</v>
      </c>
      <c r="G223" s="292" t="s">
        <v>2931</v>
      </c>
      <c r="H223" s="292" t="str">
        <f>IFERROR(VLOOKUP(G223,'Cadastro de assessores'!A:B,2,FALSE),"Não Cadastrado")</f>
        <v>18986</v>
      </c>
      <c r="I223" s="292"/>
      <c r="J223" s="24" t="s">
        <v>125</v>
      </c>
      <c r="K223" s="292" t="s">
        <v>3802</v>
      </c>
      <c r="L223" s="387">
        <v>43901</v>
      </c>
      <c r="M223" s="387">
        <v>43901</v>
      </c>
      <c r="N223" s="419">
        <v>44519</v>
      </c>
      <c r="O223" s="292" t="s">
        <v>3797</v>
      </c>
      <c r="P223" s="388">
        <v>1.4999999999999999E-2</v>
      </c>
      <c r="Q223" s="420" t="s">
        <v>4485</v>
      </c>
      <c r="R223" s="417"/>
      <c r="S223" s="292" t="str">
        <f t="shared" si="21"/>
        <v>Não Qualificado</v>
      </c>
      <c r="T223" s="299" t="s">
        <v>127</v>
      </c>
      <c r="U223" s="292" t="s">
        <v>3805</v>
      </c>
      <c r="V223" s="292" t="s">
        <v>20</v>
      </c>
      <c r="W223" s="418" t="s">
        <v>3806</v>
      </c>
      <c r="X223" s="418" t="s">
        <v>3806</v>
      </c>
      <c r="Y223" s="418" t="s">
        <v>3806</v>
      </c>
      <c r="Z223" s="418" t="s">
        <v>3806</v>
      </c>
      <c r="AA223" s="418" t="s">
        <v>4486</v>
      </c>
      <c r="AB223" s="418" t="s">
        <v>4487</v>
      </c>
      <c r="AC223" s="418" t="s">
        <v>4488</v>
      </c>
      <c r="AD223" s="418" t="s">
        <v>4489</v>
      </c>
      <c r="AE223" s="418" t="s">
        <v>4490</v>
      </c>
      <c r="AF223" s="418" t="s">
        <v>4491</v>
      </c>
      <c r="AG223" s="418" t="s">
        <v>4492</v>
      </c>
      <c r="AH223" s="418" t="s">
        <v>4493</v>
      </c>
      <c r="AI223" s="418" t="s">
        <v>4494</v>
      </c>
      <c r="AJ223" s="418" t="s">
        <v>4495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2940</v>
      </c>
      <c r="BE223" s="339" t="s">
        <v>2940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3793</v>
      </c>
      <c r="B224" s="104" t="s">
        <v>4496</v>
      </c>
      <c r="C224" s="122" t="s">
        <v>4497</v>
      </c>
      <c r="D224" s="292">
        <v>4611223</v>
      </c>
      <c r="E224" s="292" t="s">
        <v>19</v>
      </c>
      <c r="F224" s="292" t="s">
        <v>20</v>
      </c>
      <c r="G224" s="292" t="s">
        <v>3801</v>
      </c>
      <c r="H224" s="292" t="str">
        <f>IFERROR(VLOOKUP(G224,'Cadastro de assessores'!A:B,2,FALSE),"Não Cadastrado")</f>
        <v>17679</v>
      </c>
      <c r="I224" s="292"/>
      <c r="J224" s="24" t="s">
        <v>125</v>
      </c>
      <c r="K224" s="292" t="s">
        <v>3802</v>
      </c>
      <c r="L224" s="387">
        <v>44167</v>
      </c>
      <c r="M224" s="387">
        <v>44167</v>
      </c>
      <c r="N224" s="387">
        <v>44229</v>
      </c>
      <c r="O224" s="292" t="s">
        <v>3817</v>
      </c>
      <c r="P224" s="388">
        <v>2.5000000000000001E-2</v>
      </c>
      <c r="Q224" s="420" t="s">
        <v>4498</v>
      </c>
      <c r="R224" s="417"/>
      <c r="S224" s="292" t="str">
        <f t="shared" si="21"/>
        <v>Não Qualificado</v>
      </c>
      <c r="T224" s="299" t="s">
        <v>127</v>
      </c>
      <c r="U224" s="299" t="s">
        <v>4231</v>
      </c>
      <c r="V224" s="299" t="s">
        <v>3653</v>
      </c>
      <c r="W224" s="418" t="s">
        <v>3806</v>
      </c>
      <c r="X224" s="418" t="s">
        <v>3806</v>
      </c>
      <c r="Y224" s="418" t="s">
        <v>3806</v>
      </c>
      <c r="Z224" s="418" t="s">
        <v>3806</v>
      </c>
      <c r="AA224" s="418" t="s">
        <v>3806</v>
      </c>
      <c r="AB224" s="418" t="s">
        <v>3806</v>
      </c>
      <c r="AC224" s="418" t="s">
        <v>3806</v>
      </c>
      <c r="AD224" s="418" t="s">
        <v>3806</v>
      </c>
      <c r="AE224" s="418" t="s">
        <v>3806</v>
      </c>
      <c r="AF224" s="418" t="s">
        <v>3806</v>
      </c>
      <c r="AG224" s="418" t="s">
        <v>3806</v>
      </c>
      <c r="AH224" s="418" t="s">
        <v>3806</v>
      </c>
      <c r="AI224" s="418" t="s">
        <v>3806</v>
      </c>
      <c r="AJ224" s="418" t="s">
        <v>3806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2940</v>
      </c>
      <c r="BE224" s="339" t="s">
        <v>2940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3793</v>
      </c>
      <c r="B225" s="104" t="s">
        <v>1350</v>
      </c>
      <c r="C225" s="441" t="s">
        <v>4499</v>
      </c>
      <c r="D225" s="422">
        <v>2427806</v>
      </c>
      <c r="E225" s="293" t="s">
        <v>19</v>
      </c>
      <c r="F225" s="293" t="s">
        <v>66</v>
      </c>
      <c r="G225" s="293" t="s">
        <v>144</v>
      </c>
      <c r="H225" s="293">
        <f>IFERROR(VLOOKUP(G225,'Cadastro de assessores'!A:B,2,FALSE),"Não Cadastrado")</f>
        <v>12331</v>
      </c>
      <c r="I225" s="293"/>
      <c r="J225" s="24" t="s">
        <v>134</v>
      </c>
      <c r="K225" s="293" t="s">
        <v>134</v>
      </c>
      <c r="L225" s="423">
        <v>44615</v>
      </c>
      <c r="M225" s="423">
        <v>44615</v>
      </c>
      <c r="N225" s="299"/>
      <c r="O225" s="299" t="s">
        <v>3803</v>
      </c>
      <c r="P225" s="392">
        <v>1.4999999999999999E-2</v>
      </c>
      <c r="Q225" s="304" t="s">
        <v>4500</v>
      </c>
      <c r="R225" s="417"/>
      <c r="S225" s="292" t="str">
        <f t="shared" si="21"/>
        <v>Não Qualificado</v>
      </c>
      <c r="T225" s="299" t="s">
        <v>127</v>
      </c>
      <c r="U225" s="292" t="s">
        <v>3849</v>
      </c>
      <c r="V225" s="292" t="s">
        <v>66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3793</v>
      </c>
      <c r="B226" s="104" t="s">
        <v>3587</v>
      </c>
      <c r="C226" s="104" t="s">
        <v>4501</v>
      </c>
      <c r="D226" s="293">
        <v>4847953</v>
      </c>
      <c r="E226" s="293" t="s">
        <v>19</v>
      </c>
      <c r="F226" s="293" t="s">
        <v>20</v>
      </c>
      <c r="G226" s="293" t="s">
        <v>3080</v>
      </c>
      <c r="H226" s="293" t="str">
        <f>IFERROR(VLOOKUP(G226,'Cadastro de assessores'!A:B,2,FALSE),"Não Cadastrado")</f>
        <v>18236</v>
      </c>
      <c r="I226" s="293"/>
      <c r="J226" s="24" t="s">
        <v>134</v>
      </c>
      <c r="K226" s="293" t="s">
        <v>134</v>
      </c>
      <c r="L226" s="415">
        <v>44294</v>
      </c>
      <c r="M226" s="415">
        <v>44294</v>
      </c>
      <c r="N226" s="292"/>
      <c r="O226" s="292" t="s">
        <v>4502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171</v>
      </c>
      <c r="U226" s="292" t="s">
        <v>3824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3154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3793</v>
      </c>
      <c r="B227" s="104" t="s">
        <v>4503</v>
      </c>
      <c r="C227" s="441" t="s">
        <v>4504</v>
      </c>
      <c r="D227" s="299">
        <v>3029846</v>
      </c>
      <c r="E227" s="293" t="s">
        <v>19</v>
      </c>
      <c r="F227" s="293" t="s">
        <v>66</v>
      </c>
      <c r="G227" s="293" t="s">
        <v>4142</v>
      </c>
      <c r="H227" s="293" t="str">
        <f>IFERROR(VLOOKUP(G227,'Cadastro de assessores'!A:B,2,FALSE),"Não Cadastrado")</f>
        <v>14294</v>
      </c>
      <c r="I227" s="293"/>
      <c r="J227" s="24" t="s">
        <v>145</v>
      </c>
      <c r="K227" s="292" t="s">
        <v>134</v>
      </c>
      <c r="L227" s="415">
        <v>44460</v>
      </c>
      <c r="M227" s="415">
        <v>44469</v>
      </c>
      <c r="N227" s="299"/>
      <c r="O227" s="299" t="s">
        <v>3797</v>
      </c>
      <c r="P227" s="428">
        <v>0.02</v>
      </c>
      <c r="Q227" s="167" t="s">
        <v>4505</v>
      </c>
      <c r="R227" s="417"/>
      <c r="S227" s="292" t="str">
        <f t="shared" si="21"/>
        <v>Não Qualificado</v>
      </c>
      <c r="T227" s="299" t="s">
        <v>127</v>
      </c>
      <c r="U227" s="299" t="s">
        <v>4506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2940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3793</v>
      </c>
      <c r="B228" s="104" t="s">
        <v>1353</v>
      </c>
      <c r="C228" s="122" t="s">
        <v>1351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3796</v>
      </c>
      <c r="K228" s="293" t="s">
        <v>134</v>
      </c>
      <c r="L228" s="415">
        <v>44217</v>
      </c>
      <c r="M228" s="415">
        <v>44217</v>
      </c>
      <c r="N228" s="292"/>
      <c r="O228" s="292" t="s">
        <v>4340</v>
      </c>
      <c r="P228" s="388">
        <v>2E-3</v>
      </c>
      <c r="Q228" s="420" t="s">
        <v>4507</v>
      </c>
      <c r="R228" s="417"/>
      <c r="S228" s="292" t="str">
        <f t="shared" si="21"/>
        <v>Não Qualificado</v>
      </c>
      <c r="T228" s="292" t="s">
        <v>171</v>
      </c>
      <c r="U228" s="292" t="s">
        <v>3824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3793</v>
      </c>
      <c r="B229" s="104" t="s">
        <v>1353</v>
      </c>
      <c r="C229" s="122" t="s">
        <v>1351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3796</v>
      </c>
      <c r="K229" s="292" t="s">
        <v>134</v>
      </c>
      <c r="L229" s="415">
        <v>44218</v>
      </c>
      <c r="M229" s="415">
        <v>44218</v>
      </c>
      <c r="N229" s="292"/>
      <c r="O229" s="292" t="s">
        <v>3803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171</v>
      </c>
      <c r="U229" s="292" t="s">
        <v>3824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3793</v>
      </c>
      <c r="B230" s="104" t="s">
        <v>1356</v>
      </c>
      <c r="C230" s="390" t="s">
        <v>4508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3796</v>
      </c>
      <c r="K230" s="293" t="s">
        <v>134</v>
      </c>
      <c r="L230" s="415">
        <v>44669</v>
      </c>
      <c r="M230" s="415">
        <v>44670</v>
      </c>
      <c r="N230" s="299"/>
      <c r="O230" s="299" t="s">
        <v>3810</v>
      </c>
      <c r="P230" s="388">
        <v>7.0000000000000001E-3</v>
      </c>
      <c r="Q230" s="311" t="s">
        <v>4509</v>
      </c>
      <c r="R230" s="417"/>
      <c r="S230" s="292" t="str">
        <f t="shared" si="21"/>
        <v/>
      </c>
      <c r="T230" s="292" t="s">
        <v>127</v>
      </c>
      <c r="U230" s="292" t="s">
        <v>3824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3793</v>
      </c>
      <c r="B231" s="104" t="s">
        <v>4510</v>
      </c>
      <c r="C231" s="390" t="s">
        <v>4511</v>
      </c>
      <c r="D231" s="293">
        <v>4423520</v>
      </c>
      <c r="E231" s="293" t="s">
        <v>19</v>
      </c>
      <c r="F231" s="293" t="s">
        <v>20</v>
      </c>
      <c r="G231" s="293" t="s">
        <v>3166</v>
      </c>
      <c r="H231" s="293" t="str">
        <f>IFERROR(VLOOKUP(G231,'Cadastro de assessores'!A:B,2,FALSE),"Não Cadastrado")</f>
        <v>13444</v>
      </c>
      <c r="I231" s="293"/>
      <c r="J231" s="24" t="s">
        <v>134</v>
      </c>
      <c r="K231" s="293" t="s">
        <v>134</v>
      </c>
      <c r="L231" s="415">
        <v>44372</v>
      </c>
      <c r="M231" s="415">
        <v>44372</v>
      </c>
      <c r="N231" s="299"/>
      <c r="O231" s="299" t="s">
        <v>4027</v>
      </c>
      <c r="P231" s="388">
        <v>0.02</v>
      </c>
      <c r="Q231" s="311"/>
      <c r="R231" s="417"/>
      <c r="S231" s="292" t="str">
        <f t="shared" si="21"/>
        <v/>
      </c>
      <c r="T231" s="299" t="s">
        <v>171</v>
      </c>
      <c r="U231" s="299" t="s">
        <v>4028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3793</v>
      </c>
      <c r="B232" s="104" t="s">
        <v>1359</v>
      </c>
      <c r="C232" s="122" t="s">
        <v>1357</v>
      </c>
      <c r="D232" s="292">
        <v>8765907</v>
      </c>
      <c r="E232" s="292" t="s">
        <v>19</v>
      </c>
      <c r="F232" s="292" t="s">
        <v>66</v>
      </c>
      <c r="G232" s="292" t="s">
        <v>67</v>
      </c>
      <c r="H232" s="293" t="str">
        <f>IFERROR(VLOOKUP(G232,'Cadastro de assessores'!A:B,2,FALSE),"Não Cadastrado")</f>
        <v>18890</v>
      </c>
      <c r="I232" s="293"/>
      <c r="J232" s="24" t="s">
        <v>3796</v>
      </c>
      <c r="K232" s="292" t="s">
        <v>134</v>
      </c>
      <c r="L232" s="387">
        <v>44721</v>
      </c>
      <c r="M232" s="387">
        <v>44727</v>
      </c>
      <c r="N232" s="387"/>
      <c r="O232" s="292" t="s">
        <v>3813</v>
      </c>
      <c r="P232" s="388">
        <v>1.2E-2</v>
      </c>
      <c r="Q232" s="420" t="s">
        <v>4512</v>
      </c>
      <c r="R232" s="417"/>
      <c r="S232" s="292"/>
      <c r="T232" s="292" t="s">
        <v>127</v>
      </c>
      <c r="U232" s="292" t="s">
        <v>3849</v>
      </c>
      <c r="V232" s="292" t="s">
        <v>66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3793</v>
      </c>
      <c r="B233" s="104" t="s">
        <v>4513</v>
      </c>
      <c r="C233" s="441" t="s">
        <v>4514</v>
      </c>
      <c r="D233" s="293">
        <v>6519491</v>
      </c>
      <c r="E233" s="293" t="s">
        <v>19</v>
      </c>
      <c r="F233" s="293" t="s">
        <v>66</v>
      </c>
      <c r="G233" s="293" t="s">
        <v>316</v>
      </c>
      <c r="H233" s="293" t="str">
        <f>IFERROR(VLOOKUP(G233,'Cadastro de assessores'!A:B,2,FALSE),"Não Cadastrado")</f>
        <v>18009</v>
      </c>
      <c r="I233" s="293"/>
      <c r="J233" s="24" t="s">
        <v>3796</v>
      </c>
      <c r="K233" s="292" t="s">
        <v>3154</v>
      </c>
      <c r="L233" s="292" t="s">
        <v>3154</v>
      </c>
      <c r="M233" s="436" t="s">
        <v>3644</v>
      </c>
      <c r="N233" s="299"/>
      <c r="O233" s="299" t="s">
        <v>3813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127</v>
      </c>
      <c r="U233" s="292" t="s">
        <v>3975</v>
      </c>
      <c r="V233" s="292" t="s">
        <v>66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2940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3793</v>
      </c>
      <c r="B234" s="104" t="s">
        <v>4515</v>
      </c>
      <c r="C234" s="390" t="s">
        <v>4516</v>
      </c>
      <c r="D234" s="299">
        <v>3452038</v>
      </c>
      <c r="E234" s="293" t="s">
        <v>19</v>
      </c>
      <c r="F234" s="293" t="s">
        <v>66</v>
      </c>
      <c r="G234" s="299" t="s">
        <v>265</v>
      </c>
      <c r="H234" s="293" t="str">
        <f>IFERROR(VLOOKUP(G234,'Cadastro de assessores'!A:B,2,FALSE),"Não Cadastrado")</f>
        <v>17831</v>
      </c>
      <c r="I234" s="293"/>
      <c r="J234" s="24" t="s">
        <v>125</v>
      </c>
      <c r="K234" s="293" t="s">
        <v>134</v>
      </c>
      <c r="L234" s="415">
        <v>44698</v>
      </c>
      <c r="M234" s="415">
        <v>44698</v>
      </c>
      <c r="N234" s="391">
        <v>44834</v>
      </c>
      <c r="O234" s="299" t="s">
        <v>3813</v>
      </c>
      <c r="P234" s="388">
        <v>1.2E-2</v>
      </c>
      <c r="Q234" s="445" t="s">
        <v>4517</v>
      </c>
      <c r="R234" s="417"/>
      <c r="S234" s="292" t="str">
        <f t="shared" si="22"/>
        <v/>
      </c>
      <c r="T234" s="292" t="s">
        <v>127</v>
      </c>
      <c r="U234" s="292" t="s">
        <v>3849</v>
      </c>
      <c r="V234" s="292" t="s">
        <v>66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3793</v>
      </c>
      <c r="B235" s="104" t="s">
        <v>1365</v>
      </c>
      <c r="C235" s="122" t="s">
        <v>1363</v>
      </c>
      <c r="D235" s="292">
        <v>4750693</v>
      </c>
      <c r="E235" s="293" t="s">
        <v>19</v>
      </c>
      <c r="F235" s="293" t="s">
        <v>20</v>
      </c>
      <c r="G235" s="293" t="s">
        <v>2518</v>
      </c>
      <c r="H235" s="293" t="str">
        <f>IFERROR(VLOOKUP(G235,'Cadastro de assessores'!A:B,2,FALSE),"Não Cadastrado")</f>
        <v>18256</v>
      </c>
      <c r="I235" s="293"/>
      <c r="J235" s="24" t="s">
        <v>3796</v>
      </c>
      <c r="K235" s="293" t="s">
        <v>134</v>
      </c>
      <c r="L235" s="415">
        <v>44228</v>
      </c>
      <c r="M235" s="415">
        <v>44166</v>
      </c>
      <c r="N235" s="292"/>
      <c r="O235" s="292" t="s">
        <v>4518</v>
      </c>
      <c r="P235" s="388">
        <v>1.2E-2</v>
      </c>
      <c r="Q235" s="420"/>
      <c r="R235" s="417"/>
      <c r="S235" s="292" t="str">
        <f t="shared" si="22"/>
        <v/>
      </c>
      <c r="T235" s="292" t="s">
        <v>127</v>
      </c>
      <c r="U235" s="292" t="s">
        <v>4217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3793</v>
      </c>
      <c r="B236" s="104" t="s">
        <v>4519</v>
      </c>
      <c r="C236" s="122" t="s">
        <v>4520</v>
      </c>
      <c r="D236" s="292">
        <v>4744608</v>
      </c>
      <c r="E236" s="293" t="s">
        <v>19</v>
      </c>
      <c r="F236" s="293" t="s">
        <v>20</v>
      </c>
      <c r="G236" s="293" t="s">
        <v>360</v>
      </c>
      <c r="H236" s="293">
        <f>IFERROR(VLOOKUP(G236,'Cadastro de assessores'!A:B,2,FALSE),"Não Cadastrado")</f>
        <v>12359</v>
      </c>
      <c r="I236" s="293"/>
      <c r="J236" s="24" t="s">
        <v>125</v>
      </c>
      <c r="K236" s="293" t="s">
        <v>134</v>
      </c>
      <c r="L236" s="415">
        <v>44218</v>
      </c>
      <c r="M236" s="415">
        <v>44218</v>
      </c>
      <c r="N236" s="419">
        <v>44887</v>
      </c>
      <c r="O236" s="292" t="s">
        <v>3797</v>
      </c>
      <c r="P236" s="388">
        <v>0.02</v>
      </c>
      <c r="Q236" s="420" t="s">
        <v>4521</v>
      </c>
      <c r="R236" s="417"/>
      <c r="S236" s="292" t="str">
        <f t="shared" si="22"/>
        <v/>
      </c>
      <c r="T236" s="292" t="s">
        <v>127</v>
      </c>
      <c r="U236" s="292" t="s">
        <v>3824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3793</v>
      </c>
      <c r="B237" s="104" t="s">
        <v>1373</v>
      </c>
      <c r="C237" s="122" t="s">
        <v>4522</v>
      </c>
      <c r="D237" s="292">
        <v>6164897</v>
      </c>
      <c r="E237" s="293" t="s">
        <v>19</v>
      </c>
      <c r="F237" s="293" t="s">
        <v>20</v>
      </c>
      <c r="G237" s="293" t="s">
        <v>360</v>
      </c>
      <c r="H237" s="293">
        <f>IFERROR(VLOOKUP(G237,'Cadastro de assessores'!A:B,2,FALSE),"Não Cadastrado")</f>
        <v>12359</v>
      </c>
      <c r="I237" s="293"/>
      <c r="J237" s="24" t="s">
        <v>3796</v>
      </c>
      <c r="K237" s="293"/>
      <c r="L237" s="415"/>
      <c r="M237" s="415">
        <v>44845</v>
      </c>
      <c r="N237" s="292"/>
      <c r="O237" s="292" t="s">
        <v>3810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3793</v>
      </c>
      <c r="B238" s="104" t="s">
        <v>4523</v>
      </c>
      <c r="C238" s="122" t="s">
        <v>4524</v>
      </c>
      <c r="D238" s="292">
        <v>8424056</v>
      </c>
      <c r="E238" s="293" t="s">
        <v>46</v>
      </c>
      <c r="F238" s="293" t="s">
        <v>20</v>
      </c>
      <c r="G238" s="293" t="s">
        <v>4160</v>
      </c>
      <c r="H238" s="293">
        <f>IFERROR(VLOOKUP(G238,'Cadastro de assessores'!A:B,2,FALSE),"Não Cadastrado")</f>
        <v>12352</v>
      </c>
      <c r="I238" s="293"/>
      <c r="J238" s="24" t="s">
        <v>3796</v>
      </c>
      <c r="K238" s="293" t="s">
        <v>134</v>
      </c>
      <c r="L238" s="423">
        <v>44665</v>
      </c>
      <c r="M238" s="423">
        <v>44673</v>
      </c>
      <c r="N238" s="292"/>
      <c r="O238" s="292" t="s">
        <v>3813</v>
      </c>
      <c r="P238" s="388">
        <v>7.0000000000000001E-3</v>
      </c>
      <c r="Q238" s="167" t="s">
        <v>4525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127</v>
      </c>
      <c r="U238" s="292" t="s">
        <v>4186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3793</v>
      </c>
      <c r="B239" s="104" t="s">
        <v>4526</v>
      </c>
      <c r="C239" s="122" t="s">
        <v>4527</v>
      </c>
      <c r="D239" s="292">
        <v>2009210</v>
      </c>
      <c r="E239" s="293" t="s">
        <v>19</v>
      </c>
      <c r="F239" s="293" t="s">
        <v>20</v>
      </c>
      <c r="G239" s="293" t="s">
        <v>3684</v>
      </c>
      <c r="H239" s="293" t="str">
        <f>IFERROR(VLOOKUP(G239,'Cadastro de assessores'!A:B,2,FALSE),"Não Cadastrado")</f>
        <v>19352</v>
      </c>
      <c r="I239" s="293"/>
      <c r="J239" s="24" t="s">
        <v>134</v>
      </c>
      <c r="K239" s="293" t="s">
        <v>134</v>
      </c>
      <c r="L239" s="415">
        <v>43775</v>
      </c>
      <c r="M239" s="415">
        <v>43775</v>
      </c>
      <c r="N239" s="292"/>
      <c r="O239" s="292" t="s">
        <v>3817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127</v>
      </c>
      <c r="U239" s="292" t="s">
        <v>3805</v>
      </c>
      <c r="V239" s="292" t="s">
        <v>20</v>
      </c>
      <c r="W239" s="418" t="s">
        <v>4528</v>
      </c>
      <c r="X239" s="418"/>
      <c r="Y239" s="418" t="s">
        <v>4529</v>
      </c>
      <c r="Z239" s="418" t="s">
        <v>4530</v>
      </c>
      <c r="AA239" s="418" t="s">
        <v>4531</v>
      </c>
      <c r="AB239" s="418" t="s">
        <v>4532</v>
      </c>
      <c r="AC239" s="418" t="s">
        <v>4533</v>
      </c>
      <c r="AD239" s="418" t="s">
        <v>4534</v>
      </c>
      <c r="AE239" s="418" t="s">
        <v>4535</v>
      </c>
      <c r="AF239" s="418" t="s">
        <v>4536</v>
      </c>
      <c r="AG239" s="418" t="s">
        <v>4537</v>
      </c>
      <c r="AH239" s="418" t="s">
        <v>4538</v>
      </c>
      <c r="AI239" s="418" t="s">
        <v>4539</v>
      </c>
      <c r="AJ239" s="418" t="s">
        <v>4540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3793</v>
      </c>
      <c r="B240" s="104" t="s">
        <v>4541</v>
      </c>
      <c r="C240" s="122" t="s">
        <v>4542</v>
      </c>
      <c r="D240" s="292">
        <v>480281</v>
      </c>
      <c r="E240" s="292" t="s">
        <v>19</v>
      </c>
      <c r="F240" s="292" t="s">
        <v>20</v>
      </c>
      <c r="G240" s="292" t="s">
        <v>4309</v>
      </c>
      <c r="H240" s="292" t="str">
        <f>IFERROR(VLOOKUP(G240,'Cadastro de assessores'!A:B,2,FALSE),"Não Cadastrado")</f>
        <v>12846</v>
      </c>
      <c r="I240" s="292"/>
      <c r="J240" s="24" t="s">
        <v>125</v>
      </c>
      <c r="K240" s="292" t="s">
        <v>3802</v>
      </c>
      <c r="L240" s="387">
        <v>44166</v>
      </c>
      <c r="M240" s="387">
        <v>44166</v>
      </c>
      <c r="N240" s="387">
        <v>44378</v>
      </c>
      <c r="O240" s="292" t="s">
        <v>3803</v>
      </c>
      <c r="P240" s="388">
        <v>5.0000000000000001E-3</v>
      </c>
      <c r="Q240" s="420" t="s">
        <v>4310</v>
      </c>
      <c r="R240" s="417"/>
      <c r="S240" s="292" t="str">
        <f t="shared" si="23"/>
        <v/>
      </c>
      <c r="T240" s="292" t="s">
        <v>127</v>
      </c>
      <c r="U240" s="292" t="s">
        <v>3840</v>
      </c>
      <c r="V240" s="292" t="s">
        <v>20</v>
      </c>
      <c r="W240" s="418" t="s">
        <v>3806</v>
      </c>
      <c r="X240" s="418" t="s">
        <v>3806</v>
      </c>
      <c r="Y240" s="418" t="s">
        <v>3806</v>
      </c>
      <c r="Z240" s="418" t="s">
        <v>3806</v>
      </c>
      <c r="AA240" s="418" t="s">
        <v>3806</v>
      </c>
      <c r="AB240" s="418" t="s">
        <v>3806</v>
      </c>
      <c r="AC240" s="418" t="s">
        <v>3806</v>
      </c>
      <c r="AD240" s="418" t="s">
        <v>3806</v>
      </c>
      <c r="AE240" s="418" t="s">
        <v>3806</v>
      </c>
      <c r="AF240" s="418" t="s">
        <v>3806</v>
      </c>
      <c r="AG240" s="418" t="s">
        <v>3806</v>
      </c>
      <c r="AH240" s="418" t="s">
        <v>3806</v>
      </c>
      <c r="AI240" s="418" t="s">
        <v>3806</v>
      </c>
      <c r="AJ240" s="418" t="s">
        <v>3806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2940</v>
      </c>
      <c r="BE240" s="339" t="s">
        <v>2940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3793</v>
      </c>
      <c r="B241" s="104" t="s">
        <v>1397</v>
      </c>
      <c r="C241" s="122" t="s">
        <v>4543</v>
      </c>
      <c r="D241" s="422">
        <v>9183025</v>
      </c>
      <c r="E241" s="293" t="s">
        <v>19</v>
      </c>
      <c r="F241" s="293" t="s">
        <v>66</v>
      </c>
      <c r="G241" s="293" t="s">
        <v>67</v>
      </c>
      <c r="H241" s="292" t="str">
        <f>IFERROR(VLOOKUP(G241,'Cadastro de assessores'!A:B,2,FALSE),"Não Cadastrado")</f>
        <v>18890</v>
      </c>
      <c r="I241" s="292"/>
      <c r="J241" s="24" t="s">
        <v>3796</v>
      </c>
      <c r="K241" s="426" t="s">
        <v>145</v>
      </c>
      <c r="L241" s="426" t="s">
        <v>3154</v>
      </c>
      <c r="M241" s="429">
        <v>44806</v>
      </c>
      <c r="N241" s="292"/>
      <c r="O241" s="292" t="s">
        <v>3813</v>
      </c>
      <c r="P241" s="388">
        <v>1.2E-2</v>
      </c>
      <c r="Q241" s="420" t="s">
        <v>3916</v>
      </c>
      <c r="R241" s="417"/>
      <c r="S241" s="292"/>
      <c r="T241" s="292"/>
      <c r="U241" s="292"/>
      <c r="V241" s="292" t="s">
        <v>66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3793</v>
      </c>
      <c r="B242" s="104" t="s">
        <v>1405</v>
      </c>
      <c r="C242" s="122" t="s">
        <v>4544</v>
      </c>
      <c r="D242" s="422">
        <v>2278886</v>
      </c>
      <c r="E242" s="293" t="s">
        <v>19</v>
      </c>
      <c r="F242" s="293" t="s">
        <v>66</v>
      </c>
      <c r="G242" s="293" t="s">
        <v>2039</v>
      </c>
      <c r="H242" s="293"/>
      <c r="I242" s="293"/>
      <c r="J242" s="24" t="s">
        <v>3796</v>
      </c>
      <c r="K242" s="293"/>
      <c r="L242" s="429"/>
      <c r="M242" s="415">
        <v>44950</v>
      </c>
      <c r="N242" s="292"/>
      <c r="O242" s="292" t="s">
        <v>3797</v>
      </c>
      <c r="P242" s="388">
        <v>0.02</v>
      </c>
      <c r="Q242" s="420"/>
      <c r="R242" s="417"/>
      <c r="S242" s="292"/>
      <c r="T242" s="292"/>
      <c r="U242" s="292"/>
      <c r="V242" s="292" t="s">
        <v>1238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3793</v>
      </c>
      <c r="B243" s="104" t="s">
        <v>3249</v>
      </c>
      <c r="C243" s="122" t="s">
        <v>3247</v>
      </c>
      <c r="D243" s="422">
        <v>4064668</v>
      </c>
      <c r="E243" s="293" t="s">
        <v>19</v>
      </c>
      <c r="F243" s="293" t="s">
        <v>20</v>
      </c>
      <c r="G243" s="293" t="s">
        <v>2963</v>
      </c>
      <c r="H243" s="293" t="str">
        <f>IFERROR(VLOOKUP(G243,'Cadastro de assessores'!A:B,2,FALSE),"Não Cadastrado")</f>
        <v>18836</v>
      </c>
      <c r="I243" s="293"/>
      <c r="J243" s="24" t="s">
        <v>134</v>
      </c>
      <c r="K243" s="293" t="s">
        <v>134</v>
      </c>
      <c r="L243" s="429">
        <v>44277</v>
      </c>
      <c r="M243" s="429">
        <v>44285</v>
      </c>
      <c r="N243" s="292"/>
      <c r="O243" s="292" t="s">
        <v>3803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127</v>
      </c>
      <c r="U243" s="292" t="s">
        <v>4057</v>
      </c>
      <c r="V243" s="292" t="s">
        <v>878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3793</v>
      </c>
      <c r="B244" s="104" t="s">
        <v>4545</v>
      </c>
      <c r="C244" s="122" t="s">
        <v>4546</v>
      </c>
      <c r="D244" s="434">
        <v>6113871</v>
      </c>
      <c r="E244" s="293" t="s">
        <v>19</v>
      </c>
      <c r="F244" s="293" t="s">
        <v>66</v>
      </c>
      <c r="G244" s="293" t="s">
        <v>316</v>
      </c>
      <c r="H244" s="293"/>
      <c r="I244" s="293"/>
      <c r="J244" s="24" t="s">
        <v>3796</v>
      </c>
      <c r="K244" s="292"/>
      <c r="L244" s="416"/>
      <c r="M244" s="416">
        <v>44916</v>
      </c>
      <c r="N244" s="292"/>
      <c r="O244" s="292" t="s">
        <v>3803</v>
      </c>
      <c r="P244" s="388">
        <v>1.4999999999999999E-2</v>
      </c>
      <c r="Q244" s="440"/>
      <c r="R244" s="417"/>
      <c r="S244" s="292"/>
      <c r="T244" s="292"/>
      <c r="U244" s="292"/>
      <c r="V244" s="292" t="s">
        <v>793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3793</v>
      </c>
      <c r="B245" s="104" t="s">
        <v>4547</v>
      </c>
      <c r="C245" s="122" t="s">
        <v>4548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3796</v>
      </c>
      <c r="K245" s="292" t="s">
        <v>145</v>
      </c>
      <c r="L245" s="416">
        <v>44127</v>
      </c>
      <c r="M245" s="416">
        <v>44130</v>
      </c>
      <c r="N245" s="292"/>
      <c r="O245" s="292" t="s">
        <v>3803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127</v>
      </c>
      <c r="U245" s="292" t="s">
        <v>3824</v>
      </c>
      <c r="V245" s="292" t="s">
        <v>20</v>
      </c>
      <c r="W245" s="418" t="s">
        <v>3806</v>
      </c>
      <c r="X245" s="418" t="s">
        <v>3806</v>
      </c>
      <c r="Y245" s="418" t="s">
        <v>3806</v>
      </c>
      <c r="Z245" s="418" t="s">
        <v>3806</v>
      </c>
      <c r="AA245" s="418" t="s">
        <v>3806</v>
      </c>
      <c r="AB245" s="418" t="s">
        <v>3806</v>
      </c>
      <c r="AC245" s="418" t="s">
        <v>3806</v>
      </c>
      <c r="AD245" s="418" t="s">
        <v>3806</v>
      </c>
      <c r="AE245" s="418" t="s">
        <v>3806</v>
      </c>
      <c r="AF245" s="418" t="s">
        <v>3806</v>
      </c>
      <c r="AG245" s="418" t="s">
        <v>3806</v>
      </c>
      <c r="AH245" s="418" t="s">
        <v>3806</v>
      </c>
      <c r="AI245" s="418" t="s">
        <v>4549</v>
      </c>
      <c r="AJ245" s="418" t="s">
        <v>4550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3793</v>
      </c>
      <c r="B246" s="104" t="s">
        <v>4551</v>
      </c>
      <c r="C246" s="441" t="s">
        <v>4552</v>
      </c>
      <c r="D246" s="293">
        <v>522223</v>
      </c>
      <c r="E246" s="293" t="s">
        <v>19</v>
      </c>
      <c r="F246" s="293" t="s">
        <v>66</v>
      </c>
      <c r="G246" s="293" t="s">
        <v>144</v>
      </c>
      <c r="H246" s="293">
        <f>IFERROR(VLOOKUP(G246,'Cadastro de assessores'!A:B,2,FALSE),"Não Cadastrado")</f>
        <v>12331</v>
      </c>
      <c r="I246" s="293"/>
      <c r="J246" s="24" t="s">
        <v>3796</v>
      </c>
      <c r="K246" s="292" t="s">
        <v>145</v>
      </c>
      <c r="L246" s="439" t="s">
        <v>3154</v>
      </c>
      <c r="M246" s="423">
        <v>44816</v>
      </c>
      <c r="N246" s="299"/>
      <c r="O246" s="299" t="s">
        <v>3813</v>
      </c>
      <c r="P246" s="388">
        <v>1.2E-2</v>
      </c>
      <c r="Q246" s="311" t="s">
        <v>4553</v>
      </c>
      <c r="R246" s="417"/>
      <c r="S246" s="292"/>
      <c r="T246" s="292"/>
      <c r="U246" s="292"/>
      <c r="V246" s="292" t="s">
        <v>66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3793</v>
      </c>
      <c r="B247" s="104" t="s">
        <v>1415</v>
      </c>
      <c r="C247" s="441" t="s">
        <v>4554</v>
      </c>
      <c r="D247" s="293">
        <v>6852608</v>
      </c>
      <c r="E247" s="293" t="s">
        <v>19</v>
      </c>
      <c r="F247" s="293" t="s">
        <v>66</v>
      </c>
      <c r="G247" s="293" t="s">
        <v>316</v>
      </c>
      <c r="H247" s="293" t="str">
        <f>IFERROR(VLOOKUP(G247,'Cadastro de assessores'!A:B,2,FALSE),"Não Cadastrado")</f>
        <v>18009</v>
      </c>
      <c r="I247" s="293"/>
      <c r="J247" s="24" t="s">
        <v>3796</v>
      </c>
      <c r="K247" s="293" t="s">
        <v>134</v>
      </c>
      <c r="L247" s="423">
        <v>44736</v>
      </c>
      <c r="M247" s="423">
        <v>44739</v>
      </c>
      <c r="N247" s="299"/>
      <c r="O247" s="299" t="s">
        <v>3810</v>
      </c>
      <c r="P247" s="388">
        <v>7.0000000000000001E-3</v>
      </c>
      <c r="Q247" s="167" t="s">
        <v>4555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127</v>
      </c>
      <c r="U247" s="292" t="s">
        <v>3975</v>
      </c>
      <c r="V247" s="292" t="s">
        <v>66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2940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3793</v>
      </c>
      <c r="B248" s="104" t="s">
        <v>3263</v>
      </c>
      <c r="C248" s="122" t="s">
        <v>3262</v>
      </c>
      <c r="D248" s="293">
        <v>4898136</v>
      </c>
      <c r="E248" s="293" t="s">
        <v>2931</v>
      </c>
      <c r="F248" s="293" t="s">
        <v>20</v>
      </c>
      <c r="G248" s="293" t="s">
        <v>2931</v>
      </c>
      <c r="H248" s="293" t="str">
        <f>IFERROR(VLOOKUP(G248,'Cadastro de assessores'!A:B,2,FALSE),"Não Cadastrado")</f>
        <v>18986</v>
      </c>
      <c r="I248" s="293"/>
      <c r="J248" s="24" t="s">
        <v>3796</v>
      </c>
      <c r="K248" s="293" t="s">
        <v>134</v>
      </c>
      <c r="L248" s="415">
        <v>44257</v>
      </c>
      <c r="M248" s="415">
        <v>44263</v>
      </c>
      <c r="N248" s="292"/>
      <c r="O248" s="292" t="s">
        <v>3813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127</v>
      </c>
      <c r="U248" s="292" t="s">
        <v>3805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3793</v>
      </c>
      <c r="B249" s="104" t="s">
        <v>1436</v>
      </c>
      <c r="C249" s="441" t="s">
        <v>4556</v>
      </c>
      <c r="D249" s="422">
        <v>447631</v>
      </c>
      <c r="E249" s="293" t="s">
        <v>19</v>
      </c>
      <c r="F249" s="293" t="s">
        <v>66</v>
      </c>
      <c r="G249" s="293" t="s">
        <v>67</v>
      </c>
      <c r="H249" s="293" t="str">
        <f>IFERROR(VLOOKUP(G249,'Cadastro de assessores'!A:B,2,FALSE),"Não Cadastrado")</f>
        <v>18890</v>
      </c>
      <c r="I249" s="293"/>
      <c r="J249" s="24" t="s">
        <v>3796</v>
      </c>
      <c r="K249" s="293" t="s">
        <v>134</v>
      </c>
      <c r="L249" s="391">
        <v>44476</v>
      </c>
      <c r="M249" s="391">
        <v>44473</v>
      </c>
      <c r="N249" s="299"/>
      <c r="O249" s="299" t="s">
        <v>3803</v>
      </c>
      <c r="P249" s="388">
        <v>1.4999999999999999E-2</v>
      </c>
      <c r="Q249" s="167" t="s">
        <v>3916</v>
      </c>
      <c r="R249" s="417"/>
      <c r="S249" s="292" t="str">
        <f t="shared" si="24"/>
        <v/>
      </c>
      <c r="T249" s="292" t="s">
        <v>127</v>
      </c>
      <c r="U249" s="292" t="s">
        <v>3975</v>
      </c>
      <c r="V249" s="292" t="s">
        <v>66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3793</v>
      </c>
      <c r="B250" s="104" t="s">
        <v>4557</v>
      </c>
      <c r="C250" s="122" t="s">
        <v>4558</v>
      </c>
      <c r="D250" s="292">
        <v>4396977</v>
      </c>
      <c r="E250" s="293" t="s">
        <v>19</v>
      </c>
      <c r="F250" s="293" t="s">
        <v>20</v>
      </c>
      <c r="G250" s="293" t="s">
        <v>2963</v>
      </c>
      <c r="H250" s="293" t="str">
        <f>IFERROR(VLOOKUP(G250,'Cadastro de assessores'!A:B,2,FALSE),"Não Cadastrado")</f>
        <v>18836</v>
      </c>
      <c r="I250" s="293"/>
      <c r="J250" s="24" t="s">
        <v>3796</v>
      </c>
      <c r="K250" s="292" t="s">
        <v>145</v>
      </c>
      <c r="L250" s="415">
        <v>44078</v>
      </c>
      <c r="M250" s="415">
        <v>44085</v>
      </c>
      <c r="N250" s="292"/>
      <c r="O250" s="292" t="s">
        <v>3797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127</v>
      </c>
      <c r="U250" s="292" t="s">
        <v>4559</v>
      </c>
      <c r="V250" s="292" t="s">
        <v>41</v>
      </c>
      <c r="W250" s="418" t="s">
        <v>3806</v>
      </c>
      <c r="X250" s="418" t="s">
        <v>3806</v>
      </c>
      <c r="Y250" s="418" t="s">
        <v>3806</v>
      </c>
      <c r="Z250" s="418" t="s">
        <v>3806</v>
      </c>
      <c r="AA250" s="418" t="s">
        <v>3806</v>
      </c>
      <c r="AB250" s="418" t="s">
        <v>3806</v>
      </c>
      <c r="AC250" s="418" t="s">
        <v>3806</v>
      </c>
      <c r="AD250" s="418" t="s">
        <v>3806</v>
      </c>
      <c r="AE250" s="418" t="s">
        <v>3806</v>
      </c>
      <c r="AF250" s="418" t="s">
        <v>3806</v>
      </c>
      <c r="AG250" s="418" t="s">
        <v>3806</v>
      </c>
      <c r="AH250" s="418" t="s">
        <v>4560</v>
      </c>
      <c r="AI250" s="418" t="s">
        <v>4561</v>
      </c>
      <c r="AJ250" s="418" t="s">
        <v>4562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3793</v>
      </c>
      <c r="B251" s="104" t="s">
        <v>1440</v>
      </c>
      <c r="C251" s="122" t="s">
        <v>1437</v>
      </c>
      <c r="D251" s="292">
        <v>4551730</v>
      </c>
      <c r="E251" s="293" t="s">
        <v>19</v>
      </c>
      <c r="F251" s="293" t="s">
        <v>20</v>
      </c>
      <c r="G251" s="293" t="s">
        <v>360</v>
      </c>
      <c r="H251" s="293">
        <f>IFERROR(VLOOKUP(G251,'Cadastro de assessores'!A:B,2,FALSE),"Não Cadastrado")</f>
        <v>12359</v>
      </c>
      <c r="I251" s="293"/>
      <c r="J251" s="24" t="s">
        <v>3796</v>
      </c>
      <c r="K251" s="293" t="s">
        <v>134</v>
      </c>
      <c r="L251" s="415">
        <v>44138</v>
      </c>
      <c r="M251" s="415">
        <v>44138</v>
      </c>
      <c r="N251" s="292"/>
      <c r="O251" s="292" t="s">
        <v>3813</v>
      </c>
      <c r="P251" s="388">
        <v>1.2E-2</v>
      </c>
      <c r="Q251" s="420" t="s">
        <v>3908</v>
      </c>
      <c r="R251" s="417"/>
      <c r="S251" s="292" t="str">
        <f t="shared" si="24"/>
        <v>Não Qualificado</v>
      </c>
      <c r="T251" s="292" t="s">
        <v>127</v>
      </c>
      <c r="U251" s="292" t="s">
        <v>3999</v>
      </c>
      <c r="V251" s="292" t="s">
        <v>20</v>
      </c>
      <c r="W251" s="418" t="s">
        <v>3806</v>
      </c>
      <c r="X251" s="418" t="s">
        <v>3806</v>
      </c>
      <c r="Y251" s="418" t="s">
        <v>3806</v>
      </c>
      <c r="Z251" s="418" t="s">
        <v>3806</v>
      </c>
      <c r="AA251" s="418" t="s">
        <v>3806</v>
      </c>
      <c r="AB251" s="418" t="s">
        <v>3806</v>
      </c>
      <c r="AC251" s="418" t="s">
        <v>3806</v>
      </c>
      <c r="AD251" s="418" t="s">
        <v>3806</v>
      </c>
      <c r="AE251" s="418" t="s">
        <v>3806</v>
      </c>
      <c r="AF251" s="418" t="s">
        <v>3806</v>
      </c>
      <c r="AG251" s="418" t="s">
        <v>3806</v>
      </c>
      <c r="AH251" s="418" t="s">
        <v>3806</v>
      </c>
      <c r="AI251" s="418" t="s">
        <v>4563</v>
      </c>
      <c r="AJ251" s="418" t="s">
        <v>4564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3793</v>
      </c>
      <c r="B252" s="104" t="s">
        <v>4565</v>
      </c>
      <c r="C252" s="122" t="s">
        <v>225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3796</v>
      </c>
      <c r="K252" s="292" t="s">
        <v>134</v>
      </c>
      <c r="L252" s="415">
        <v>44069</v>
      </c>
      <c r="M252" s="415">
        <v>44074</v>
      </c>
      <c r="N252" s="292"/>
      <c r="O252" s="292" t="s">
        <v>3797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127</v>
      </c>
      <c r="U252" s="292" t="s">
        <v>3824</v>
      </c>
      <c r="V252" s="292" t="s">
        <v>20</v>
      </c>
      <c r="W252" s="418" t="s">
        <v>3806</v>
      </c>
      <c r="X252" s="418" t="s">
        <v>3806</v>
      </c>
      <c r="Y252" s="418" t="s">
        <v>3806</v>
      </c>
      <c r="Z252" s="418" t="s">
        <v>3806</v>
      </c>
      <c r="AA252" s="418" t="s">
        <v>3806</v>
      </c>
      <c r="AB252" s="418" t="s">
        <v>3806</v>
      </c>
      <c r="AC252" s="418" t="s">
        <v>3806</v>
      </c>
      <c r="AD252" s="418" t="s">
        <v>3806</v>
      </c>
      <c r="AE252" s="418" t="s">
        <v>3806</v>
      </c>
      <c r="AF252" s="418" t="s">
        <v>3806</v>
      </c>
      <c r="AG252" s="418" t="s">
        <v>4566</v>
      </c>
      <c r="AH252" s="418" t="s">
        <v>4567</v>
      </c>
      <c r="AI252" s="418" t="s">
        <v>4568</v>
      </c>
      <c r="AJ252" s="418" t="s">
        <v>4569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3793</v>
      </c>
      <c r="B253" s="104" t="s">
        <v>1446</v>
      </c>
      <c r="C253" s="122" t="s">
        <v>4570</v>
      </c>
      <c r="D253" s="292">
        <v>4413569</v>
      </c>
      <c r="E253" s="293" t="s">
        <v>46</v>
      </c>
      <c r="F253" s="293" t="s">
        <v>20</v>
      </c>
      <c r="G253" s="293" t="s">
        <v>3981</v>
      </c>
      <c r="H253" s="293" t="str">
        <f>IFERROR(VLOOKUP(G253,'Cadastro de assessores'!A:B,2,FALSE),"Não Cadastrado")</f>
        <v>16459</v>
      </c>
      <c r="I253" s="293"/>
      <c r="J253" s="24" t="s">
        <v>3796</v>
      </c>
      <c r="K253" s="293" t="s">
        <v>134</v>
      </c>
      <c r="L253" s="415">
        <v>44070</v>
      </c>
      <c r="M253" s="415">
        <v>44075</v>
      </c>
      <c r="N253" s="299"/>
      <c r="O253" s="299" t="s">
        <v>3850</v>
      </c>
      <c r="P253" s="388">
        <v>1.4999999999999999E-2</v>
      </c>
      <c r="Q253" s="420" t="s">
        <v>4571</v>
      </c>
      <c r="R253" s="417"/>
      <c r="S253" s="292" t="str">
        <f t="shared" si="24"/>
        <v/>
      </c>
      <c r="T253" s="292" t="s">
        <v>127</v>
      </c>
      <c r="U253" s="292" t="s">
        <v>3805</v>
      </c>
      <c r="V253" s="292" t="s">
        <v>20</v>
      </c>
      <c r="W253" s="418" t="s">
        <v>3806</v>
      </c>
      <c r="X253" s="418" t="s">
        <v>3806</v>
      </c>
      <c r="Y253" s="418" t="s">
        <v>3806</v>
      </c>
      <c r="Z253" s="418" t="s">
        <v>3806</v>
      </c>
      <c r="AA253" s="418" t="s">
        <v>3806</v>
      </c>
      <c r="AB253" s="418" t="s">
        <v>3806</v>
      </c>
      <c r="AC253" s="418" t="s">
        <v>3806</v>
      </c>
      <c r="AD253" s="418" t="s">
        <v>3806</v>
      </c>
      <c r="AE253" s="418" t="s">
        <v>3806</v>
      </c>
      <c r="AF253" s="418" t="s">
        <v>3806</v>
      </c>
      <c r="AG253" s="418" t="s">
        <v>4572</v>
      </c>
      <c r="AH253" s="418" t="s">
        <v>4573</v>
      </c>
      <c r="AI253" s="418" t="s">
        <v>4574</v>
      </c>
      <c r="AJ253" s="418" t="s">
        <v>4575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3793</v>
      </c>
      <c r="B254" s="104" t="s">
        <v>1446</v>
      </c>
      <c r="C254" s="122" t="s">
        <v>4570</v>
      </c>
      <c r="D254" s="292">
        <v>4307232</v>
      </c>
      <c r="E254" s="293" t="s">
        <v>46</v>
      </c>
      <c r="F254" s="293" t="s">
        <v>20</v>
      </c>
      <c r="G254" s="293" t="s">
        <v>3981</v>
      </c>
      <c r="H254" s="293" t="str">
        <f>IFERROR(VLOOKUP(G254,'Cadastro de assessores'!A:B,2,FALSE),"Não Cadastrado")</f>
        <v>16459</v>
      </c>
      <c r="I254" s="293"/>
      <c r="J254" s="24" t="s">
        <v>3796</v>
      </c>
      <c r="K254" s="293" t="s">
        <v>134</v>
      </c>
      <c r="L254" s="415">
        <v>44050</v>
      </c>
      <c r="M254" s="415">
        <v>44054</v>
      </c>
      <c r="N254" s="292"/>
      <c r="O254" s="292" t="s">
        <v>3817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127</v>
      </c>
      <c r="U254" s="292" t="s">
        <v>3805</v>
      </c>
      <c r="V254" s="292" t="s">
        <v>20</v>
      </c>
      <c r="W254" s="418" t="s">
        <v>3806</v>
      </c>
      <c r="X254" s="418" t="s">
        <v>3806</v>
      </c>
      <c r="Y254" s="418" t="s">
        <v>3806</v>
      </c>
      <c r="Z254" s="418" t="s">
        <v>3806</v>
      </c>
      <c r="AA254" s="418" t="s">
        <v>3806</v>
      </c>
      <c r="AB254" s="418" t="s">
        <v>3806</v>
      </c>
      <c r="AC254" s="418" t="s">
        <v>3806</v>
      </c>
      <c r="AD254" s="418" t="s">
        <v>3806</v>
      </c>
      <c r="AE254" s="418" t="s">
        <v>3806</v>
      </c>
      <c r="AF254" s="418" t="s">
        <v>3806</v>
      </c>
      <c r="AG254" s="418" t="s">
        <v>4576</v>
      </c>
      <c r="AH254" s="418" t="s">
        <v>4577</v>
      </c>
      <c r="AI254" s="418" t="s">
        <v>4578</v>
      </c>
      <c r="AJ254" s="418" t="s">
        <v>4579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3793</v>
      </c>
      <c r="B255" s="104" t="s">
        <v>4580</v>
      </c>
      <c r="C255" s="122" t="s">
        <v>4581</v>
      </c>
      <c r="D255" s="292">
        <v>4871016</v>
      </c>
      <c r="E255" s="292" t="s">
        <v>19</v>
      </c>
      <c r="F255" s="292" t="s">
        <v>66</v>
      </c>
      <c r="G255" s="292" t="s">
        <v>316</v>
      </c>
      <c r="H255" s="292" t="str">
        <f>IFERROR(VLOOKUP(G255,'Cadastro de assessores'!A:B,2,FALSE),"Não Cadastrado")</f>
        <v>18009</v>
      </c>
      <c r="I255" s="292"/>
      <c r="J255" s="24" t="s">
        <v>125</v>
      </c>
      <c r="K255" s="292" t="s">
        <v>3802</v>
      </c>
      <c r="L255" s="458" t="s">
        <v>3154</v>
      </c>
      <c r="M255" s="387">
        <v>44252</v>
      </c>
      <c r="N255" s="419">
        <v>44524</v>
      </c>
      <c r="O255" s="292" t="s">
        <v>3817</v>
      </c>
      <c r="P255" s="388">
        <v>2.5000000000000001E-2</v>
      </c>
      <c r="Q255" s="420" t="s">
        <v>4013</v>
      </c>
      <c r="R255" s="417"/>
      <c r="S255" s="292" t="str">
        <f t="shared" si="24"/>
        <v>Não Qualificado</v>
      </c>
      <c r="T255" s="292" t="s">
        <v>127</v>
      </c>
      <c r="U255" s="292" t="s">
        <v>4582</v>
      </c>
      <c r="V255" s="292" t="s">
        <v>202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2940</v>
      </c>
      <c r="BE255" s="339" t="s">
        <v>2940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3793</v>
      </c>
      <c r="B256" s="104" t="s">
        <v>1462</v>
      </c>
      <c r="C256" s="122" t="s">
        <v>4583</v>
      </c>
      <c r="D256" s="292">
        <v>4461684</v>
      </c>
      <c r="E256" s="293" t="s">
        <v>2931</v>
      </c>
      <c r="F256" s="293" t="s">
        <v>20</v>
      </c>
      <c r="G256" s="293" t="s">
        <v>2931</v>
      </c>
      <c r="H256" s="293" t="str">
        <f>IFERROR(VLOOKUP(G256,'Cadastro de assessores'!A:B,2,FALSE),"Não Cadastrado")</f>
        <v>18986</v>
      </c>
      <c r="I256" s="293"/>
      <c r="J256" s="24" t="s">
        <v>3796</v>
      </c>
      <c r="K256" s="293" t="s">
        <v>134</v>
      </c>
      <c r="L256" s="416">
        <v>44117</v>
      </c>
      <c r="M256" s="416">
        <v>44118</v>
      </c>
      <c r="N256" s="292"/>
      <c r="O256" s="292" t="s">
        <v>3813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127</v>
      </c>
      <c r="U256" s="292" t="s">
        <v>3824</v>
      </c>
      <c r="V256" s="292" t="s">
        <v>20</v>
      </c>
      <c r="W256" s="418" t="s">
        <v>3806</v>
      </c>
      <c r="X256" s="418" t="s">
        <v>3806</v>
      </c>
      <c r="Y256" s="418" t="s">
        <v>3806</v>
      </c>
      <c r="Z256" s="418" t="s">
        <v>3806</v>
      </c>
      <c r="AA256" s="418" t="s">
        <v>3806</v>
      </c>
      <c r="AB256" s="418" t="s">
        <v>3806</v>
      </c>
      <c r="AC256" s="418" t="s">
        <v>3806</v>
      </c>
      <c r="AD256" s="418" t="s">
        <v>3806</v>
      </c>
      <c r="AE256" s="418" t="s">
        <v>3806</v>
      </c>
      <c r="AF256" s="418" t="s">
        <v>3806</v>
      </c>
      <c r="AG256" s="418" t="s">
        <v>3806</v>
      </c>
      <c r="AH256" s="418" t="s">
        <v>3806</v>
      </c>
      <c r="AI256" s="418" t="s">
        <v>4584</v>
      </c>
      <c r="AJ256" s="418" t="s">
        <v>4585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3793</v>
      </c>
      <c r="B257" s="104" t="s">
        <v>4586</v>
      </c>
      <c r="C257" s="390" t="s">
        <v>4587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3796</v>
      </c>
      <c r="K257" s="293" t="s">
        <v>134</v>
      </c>
      <c r="L257" s="415">
        <v>44742</v>
      </c>
      <c r="M257" s="415">
        <v>44743</v>
      </c>
      <c r="N257" s="299"/>
      <c r="O257" s="299" t="s">
        <v>3810</v>
      </c>
      <c r="P257" s="388">
        <v>7.0000000000000001E-3</v>
      </c>
      <c r="Q257" s="167" t="s">
        <v>4588</v>
      </c>
      <c r="R257" s="417"/>
      <c r="S257" s="292"/>
      <c r="T257" s="292" t="s">
        <v>127</v>
      </c>
      <c r="U257" s="292" t="s">
        <v>4589</v>
      </c>
      <c r="V257" s="292" t="s">
        <v>282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3793</v>
      </c>
      <c r="B258" s="104" t="s">
        <v>4590</v>
      </c>
      <c r="C258" s="390" t="s">
        <v>4591</v>
      </c>
      <c r="D258" s="299">
        <v>5660556</v>
      </c>
      <c r="E258" s="293" t="s">
        <v>19</v>
      </c>
      <c r="F258" s="293" t="s">
        <v>20</v>
      </c>
      <c r="G258" s="293" t="s">
        <v>184</v>
      </c>
      <c r="H258" s="293">
        <f>IFERROR(VLOOKUP(G258,'Cadastro de assessores'!A:B,2,FALSE),"Não Cadastrado")</f>
        <v>12332</v>
      </c>
      <c r="I258" s="293"/>
      <c r="J258" s="24" t="s">
        <v>3796</v>
      </c>
      <c r="K258" s="293" t="s">
        <v>134</v>
      </c>
      <c r="L258" s="415">
        <v>44357</v>
      </c>
      <c r="M258" s="415">
        <v>44361</v>
      </c>
      <c r="N258" s="299"/>
      <c r="O258" s="299" t="s">
        <v>3810</v>
      </c>
      <c r="P258" s="388">
        <v>7.0000000000000001E-3</v>
      </c>
      <c r="Q258" s="92" t="s">
        <v>4592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127</v>
      </c>
      <c r="U258" s="292" t="s">
        <v>3824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3793</v>
      </c>
      <c r="B259" s="104" t="s">
        <v>1473</v>
      </c>
      <c r="C259" s="390" t="s">
        <v>1471</v>
      </c>
      <c r="D259" s="299">
        <v>8479778</v>
      </c>
      <c r="E259" s="293" t="s">
        <v>46</v>
      </c>
      <c r="F259" s="293" t="s">
        <v>20</v>
      </c>
      <c r="G259" s="299" t="s">
        <v>4593</v>
      </c>
      <c r="H259" s="293">
        <f>IFERROR(VLOOKUP(G259,'Cadastro de assessores'!A:B,2,FALSE),"Não Cadastrado")</f>
        <v>12357</v>
      </c>
      <c r="I259" s="293"/>
      <c r="J259" s="24" t="s">
        <v>125</v>
      </c>
      <c r="K259" s="293" t="s">
        <v>134</v>
      </c>
      <c r="L259" s="416">
        <v>44684</v>
      </c>
      <c r="M259" s="416">
        <v>44683</v>
      </c>
      <c r="N259" s="391">
        <v>44936</v>
      </c>
      <c r="O259" s="299" t="s">
        <v>3813</v>
      </c>
      <c r="P259" s="388">
        <v>1.2E-2</v>
      </c>
      <c r="Q259" s="440" t="s">
        <v>4594</v>
      </c>
      <c r="R259" s="417"/>
      <c r="S259" s="292" t="str">
        <f t="shared" si="25"/>
        <v/>
      </c>
      <c r="T259" s="292" t="s">
        <v>127</v>
      </c>
      <c r="U259" s="292" t="s">
        <v>3824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3793</v>
      </c>
      <c r="B260" s="104" t="s">
        <v>1476</v>
      </c>
      <c r="C260" s="390" t="s">
        <v>1474</v>
      </c>
      <c r="D260" s="422">
        <v>8155858</v>
      </c>
      <c r="E260" s="293" t="s">
        <v>19</v>
      </c>
      <c r="F260" s="293" t="s">
        <v>66</v>
      </c>
      <c r="G260" s="293" t="s">
        <v>316</v>
      </c>
      <c r="H260" s="293" t="str">
        <f>IFERROR(VLOOKUP(G260,'Cadastro de assessores'!A:B,2,FALSE),"Não Cadastrado")</f>
        <v>18009</v>
      </c>
      <c r="I260" s="293"/>
      <c r="J260" s="24" t="s">
        <v>3796</v>
      </c>
      <c r="K260" s="426" t="s">
        <v>134</v>
      </c>
      <c r="L260" s="423">
        <v>44683</v>
      </c>
      <c r="M260" s="423">
        <v>44644</v>
      </c>
      <c r="N260" s="292"/>
      <c r="O260" s="292" t="s">
        <v>3810</v>
      </c>
      <c r="P260" s="388">
        <v>7.0000000000000001E-3</v>
      </c>
      <c r="Q260" s="420" t="s">
        <v>4595</v>
      </c>
      <c r="R260" s="417"/>
      <c r="S260" s="292" t="str">
        <f t="shared" si="25"/>
        <v>Não Qualificado</v>
      </c>
      <c r="T260" s="292" t="s">
        <v>127</v>
      </c>
      <c r="U260" s="292" t="s">
        <v>4186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3793</v>
      </c>
      <c r="B261" s="104" t="s">
        <v>4596</v>
      </c>
      <c r="C261" s="122" t="s">
        <v>4597</v>
      </c>
      <c r="D261" s="292">
        <v>250289</v>
      </c>
      <c r="E261" s="292" t="s">
        <v>19</v>
      </c>
      <c r="F261" s="292" t="s">
        <v>20</v>
      </c>
      <c r="G261" s="292" t="s">
        <v>437</v>
      </c>
      <c r="H261" s="292" t="str">
        <f>IFERROR(VLOOKUP(G261,'Cadastro de assessores'!A:B,2,FALSE),"Não Cadastrado")</f>
        <v>18993</v>
      </c>
      <c r="I261" s="292"/>
      <c r="J261" s="24" t="s">
        <v>125</v>
      </c>
      <c r="K261" s="292" t="s">
        <v>3802</v>
      </c>
      <c r="L261" s="387">
        <v>43880</v>
      </c>
      <c r="M261" s="387">
        <v>43880</v>
      </c>
      <c r="N261" s="387">
        <v>44335</v>
      </c>
      <c r="O261" s="292" t="s">
        <v>3817</v>
      </c>
      <c r="P261" s="388">
        <v>0.01</v>
      </c>
      <c r="Q261" s="420" t="s">
        <v>4598</v>
      </c>
      <c r="R261" s="417"/>
      <c r="S261" s="292" t="str">
        <f t="shared" si="25"/>
        <v>Não Qualificado</v>
      </c>
      <c r="T261" s="292" t="s">
        <v>127</v>
      </c>
      <c r="U261" s="292" t="s">
        <v>3824</v>
      </c>
      <c r="V261" s="292" t="s">
        <v>20</v>
      </c>
      <c r="W261" s="418" t="s">
        <v>3806</v>
      </c>
      <c r="X261" s="418" t="s">
        <v>3806</v>
      </c>
      <c r="Y261" s="418" t="s">
        <v>3806</v>
      </c>
      <c r="Z261" s="418" t="s">
        <v>4599</v>
      </c>
      <c r="AA261" s="418" t="s">
        <v>4600</v>
      </c>
      <c r="AB261" s="418" t="s">
        <v>4601</v>
      </c>
      <c r="AC261" s="418" t="s">
        <v>4602</v>
      </c>
      <c r="AD261" s="418" t="s">
        <v>4603</v>
      </c>
      <c r="AE261" s="418" t="s">
        <v>4604</v>
      </c>
      <c r="AF261" s="418" t="s">
        <v>4605</v>
      </c>
      <c r="AG261" s="418" t="s">
        <v>4606</v>
      </c>
      <c r="AH261" s="418" t="s">
        <v>4607</v>
      </c>
      <c r="AI261" s="418" t="s">
        <v>4608</v>
      </c>
      <c r="AJ261" s="418" t="s">
        <v>4609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2940</v>
      </c>
      <c r="BE261" s="339" t="s">
        <v>2940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3793</v>
      </c>
      <c r="B262" s="104" t="s">
        <v>4610</v>
      </c>
      <c r="C262" s="122" t="s">
        <v>4611</v>
      </c>
      <c r="D262" s="292">
        <v>4847801</v>
      </c>
      <c r="E262" s="293" t="s">
        <v>46</v>
      </c>
      <c r="F262" s="293" t="s">
        <v>20</v>
      </c>
      <c r="G262" s="293" t="s">
        <v>3640</v>
      </c>
      <c r="H262" s="293" t="str">
        <f>IFERROR(VLOOKUP(G262,'Cadastro de assessores'!A:B,2,FALSE),"Não Cadastrado")</f>
        <v>14574</v>
      </c>
      <c r="I262" s="293"/>
      <c r="J262" s="24" t="s">
        <v>3796</v>
      </c>
      <c r="K262" s="292" t="s">
        <v>134</v>
      </c>
      <c r="L262" s="415">
        <v>44236</v>
      </c>
      <c r="M262" s="415">
        <v>44236</v>
      </c>
      <c r="N262" s="292"/>
      <c r="O262" s="292" t="s">
        <v>3797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127</v>
      </c>
      <c r="U262" s="292" t="s">
        <v>3937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3793</v>
      </c>
      <c r="B263" s="104" t="s">
        <v>4612</v>
      </c>
      <c r="C263" s="86" t="s">
        <v>4613</v>
      </c>
      <c r="D263" s="299">
        <v>6666003</v>
      </c>
      <c r="E263" s="293" t="s">
        <v>2931</v>
      </c>
      <c r="F263" s="293" t="s">
        <v>20</v>
      </c>
      <c r="G263" s="293" t="s">
        <v>2931</v>
      </c>
      <c r="H263" s="293" t="str">
        <f>IFERROR(VLOOKUP(G263,'Cadastro de assessores'!A:B,2,FALSE),"Não Cadastrado")</f>
        <v>18986</v>
      </c>
      <c r="I263" s="293"/>
      <c r="J263" s="24" t="s">
        <v>3796</v>
      </c>
      <c r="K263" s="292" t="s">
        <v>3154</v>
      </c>
      <c r="L263" s="460"/>
      <c r="M263" s="461" t="s">
        <v>4614</v>
      </c>
      <c r="N263" s="462"/>
      <c r="O263" s="293" t="s">
        <v>4615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127</v>
      </c>
      <c r="U263" s="86"/>
      <c r="V263" s="299" t="s">
        <v>3154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2940</v>
      </c>
      <c r="BE263" s="339" t="s">
        <v>2940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3793</v>
      </c>
      <c r="B264" s="104" t="s">
        <v>4616</v>
      </c>
      <c r="C264" s="390" t="s">
        <v>4617</v>
      </c>
      <c r="D264" s="299">
        <v>58954</v>
      </c>
      <c r="E264" s="293" t="s">
        <v>19</v>
      </c>
      <c r="F264" s="293" t="s">
        <v>66</v>
      </c>
      <c r="G264" s="293" t="s">
        <v>2039</v>
      </c>
      <c r="H264" s="293">
        <f>IFERROR(VLOOKUP(G264,'Cadastro de assessores'!A:B,2,FALSE),"Não Cadastrado")</f>
        <v>12350</v>
      </c>
      <c r="I264" s="293"/>
      <c r="J264" s="24" t="s">
        <v>134</v>
      </c>
      <c r="K264" s="292" t="s">
        <v>145</v>
      </c>
      <c r="L264" s="293" t="s">
        <v>3154</v>
      </c>
      <c r="M264" s="415">
        <v>44866</v>
      </c>
      <c r="N264" s="299"/>
      <c r="O264" s="299" t="s">
        <v>3810</v>
      </c>
      <c r="P264" s="388">
        <v>5.0000000000000001E-3</v>
      </c>
      <c r="Q264" s="167" t="s">
        <v>4618</v>
      </c>
      <c r="R264" s="417"/>
      <c r="S264" s="292"/>
      <c r="T264" s="292" t="s">
        <v>127</v>
      </c>
      <c r="U264" s="292" t="s">
        <v>3849</v>
      </c>
      <c r="V264" s="292" t="s">
        <v>66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3793</v>
      </c>
      <c r="B265" s="104" t="s">
        <v>4619</v>
      </c>
      <c r="C265" s="122" t="s">
        <v>4620</v>
      </c>
      <c r="D265" s="292">
        <v>4920389</v>
      </c>
      <c r="E265" s="292" t="s">
        <v>19</v>
      </c>
      <c r="F265" s="292" t="s">
        <v>20</v>
      </c>
      <c r="G265" s="292" t="s">
        <v>3801</v>
      </c>
      <c r="H265" s="292" t="str">
        <f>IFERROR(VLOOKUP(G265,'Cadastro de assessores'!A:B,2,FALSE),"Não Cadastrado")</f>
        <v>17679</v>
      </c>
      <c r="I265" s="292"/>
      <c r="J265" s="24" t="s">
        <v>125</v>
      </c>
      <c r="K265" s="292" t="s">
        <v>3802</v>
      </c>
      <c r="L265" s="387">
        <v>44263</v>
      </c>
      <c r="M265" s="387">
        <v>44263</v>
      </c>
      <c r="N265" s="391">
        <v>44456</v>
      </c>
      <c r="O265" s="299" t="s">
        <v>3850</v>
      </c>
      <c r="P265" s="388">
        <v>8.0000000000000002E-3</v>
      </c>
      <c r="Q265" s="420" t="s">
        <v>3804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127</v>
      </c>
      <c r="U265" s="292" t="s">
        <v>4621</v>
      </c>
      <c r="V265" s="292" t="s">
        <v>1654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2940</v>
      </c>
      <c r="BE265" s="339" t="s">
        <v>2940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3793</v>
      </c>
      <c r="B266" s="104" t="s">
        <v>3274</v>
      </c>
      <c r="C266" s="122" t="s">
        <v>4622</v>
      </c>
      <c r="D266" s="292">
        <v>3518710</v>
      </c>
      <c r="E266" s="292" t="s">
        <v>2931</v>
      </c>
      <c r="F266" s="292" t="s">
        <v>20</v>
      </c>
      <c r="G266" s="292" t="s">
        <v>2931</v>
      </c>
      <c r="H266" s="292" t="str">
        <f>IFERROR(VLOOKUP(G266,'Cadastro de assessores'!A:B,2,FALSE),"Não Cadastrado")</f>
        <v>18986</v>
      </c>
      <c r="I266" s="292"/>
      <c r="J266" s="24" t="s">
        <v>125</v>
      </c>
      <c r="K266" s="292" t="s">
        <v>3802</v>
      </c>
      <c r="L266" s="387">
        <v>43717</v>
      </c>
      <c r="M266" s="387">
        <v>43717</v>
      </c>
      <c r="N266" s="387">
        <v>44705</v>
      </c>
      <c r="O266" s="292" t="s">
        <v>4196</v>
      </c>
      <c r="P266" s="388">
        <v>0.01</v>
      </c>
      <c r="Q266" s="167" t="s">
        <v>4623</v>
      </c>
      <c r="R266" s="417"/>
      <c r="S266" s="292" t="str">
        <f t="shared" si="26"/>
        <v>Não Qualificado</v>
      </c>
      <c r="T266" s="292" t="s">
        <v>127</v>
      </c>
      <c r="U266" s="292" t="s">
        <v>3805</v>
      </c>
      <c r="V266" s="292" t="s">
        <v>20</v>
      </c>
      <c r="W266" s="418" t="s">
        <v>4624</v>
      </c>
      <c r="X266" s="418"/>
      <c r="Y266" s="418" t="s">
        <v>4625</v>
      </c>
      <c r="Z266" s="418" t="s">
        <v>4626</v>
      </c>
      <c r="AA266" s="418" t="s">
        <v>4627</v>
      </c>
      <c r="AB266" s="418" t="s">
        <v>4628</v>
      </c>
      <c r="AC266" s="418" t="s">
        <v>4629</v>
      </c>
      <c r="AD266" s="418" t="s">
        <v>4630</v>
      </c>
      <c r="AE266" s="418" t="s">
        <v>4631</v>
      </c>
      <c r="AF266" s="418" t="s">
        <v>4632</v>
      </c>
      <c r="AG266" s="418" t="s">
        <v>4633</v>
      </c>
      <c r="AH266" s="418" t="s">
        <v>4634</v>
      </c>
      <c r="AI266" s="418" t="s">
        <v>4635</v>
      </c>
      <c r="AJ266" s="418" t="s">
        <v>4636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2940</v>
      </c>
      <c r="BE266" s="339" t="s">
        <v>2940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3793</v>
      </c>
      <c r="B267" s="104" t="s">
        <v>4637</v>
      </c>
      <c r="C267" s="122" t="s">
        <v>4638</v>
      </c>
      <c r="D267" s="292">
        <v>2746879</v>
      </c>
      <c r="E267" s="293" t="s">
        <v>46</v>
      </c>
      <c r="F267" s="293" t="s">
        <v>20</v>
      </c>
      <c r="G267" s="293" t="s">
        <v>4112</v>
      </c>
      <c r="H267" s="293" t="str">
        <f>IFERROR(VLOOKUP(G267,'Cadastro de assessores'!A:B,2,FALSE),"Não Cadastrado")</f>
        <v>19157</v>
      </c>
      <c r="I267" s="293"/>
      <c r="J267" s="24" t="s">
        <v>3796</v>
      </c>
      <c r="K267" s="293" t="s">
        <v>134</v>
      </c>
      <c r="L267" s="415">
        <v>44218</v>
      </c>
      <c r="M267" s="415">
        <v>44249</v>
      </c>
      <c r="N267" s="292"/>
      <c r="O267" s="292" t="s">
        <v>3817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127</v>
      </c>
      <c r="U267" s="292" t="s">
        <v>3937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3793</v>
      </c>
      <c r="B268" s="104" t="s">
        <v>4639</v>
      </c>
      <c r="C268" s="390" t="s">
        <v>4640</v>
      </c>
      <c r="D268" s="422">
        <v>8392629</v>
      </c>
      <c r="E268" s="293" t="s">
        <v>19</v>
      </c>
      <c r="F268" s="293" t="s">
        <v>20</v>
      </c>
      <c r="G268" s="293" t="s">
        <v>935</v>
      </c>
      <c r="H268" s="293">
        <f>IFERROR(VLOOKUP(G268,'Cadastro de assessores'!A:B,2,FALSE),"Não Cadastrado")</f>
        <v>12342</v>
      </c>
      <c r="I268" s="293"/>
      <c r="J268" s="24" t="s">
        <v>3796</v>
      </c>
      <c r="K268" s="293" t="s">
        <v>134</v>
      </c>
      <c r="L268" s="415">
        <v>44662</v>
      </c>
      <c r="M268" s="415">
        <v>44670</v>
      </c>
      <c r="N268" s="299"/>
      <c r="O268" s="299" t="s">
        <v>3810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127</v>
      </c>
      <c r="U268" s="292" t="s">
        <v>4641</v>
      </c>
      <c r="V268" s="292" t="s">
        <v>4642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3793</v>
      </c>
      <c r="B269" s="104" t="s">
        <v>1511</v>
      </c>
      <c r="C269" s="122" t="s">
        <v>4643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3796</v>
      </c>
      <c r="K269" s="293" t="s">
        <v>134</v>
      </c>
      <c r="L269" s="415">
        <v>44586</v>
      </c>
      <c r="M269" s="415">
        <v>44586</v>
      </c>
      <c r="N269" s="307"/>
      <c r="O269" s="299" t="s">
        <v>3810</v>
      </c>
      <c r="P269" s="388">
        <v>7.0000000000000001E-3</v>
      </c>
      <c r="Q269" s="167" t="s">
        <v>4644</v>
      </c>
      <c r="R269" s="417"/>
      <c r="S269" s="292" t="str">
        <f t="shared" si="26"/>
        <v/>
      </c>
      <c r="T269" s="292" t="s">
        <v>127</v>
      </c>
      <c r="U269" s="292" t="s">
        <v>3824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3793</v>
      </c>
      <c r="B270" s="104" t="s">
        <v>1511</v>
      </c>
      <c r="C270" s="122" t="s">
        <v>4643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134</v>
      </c>
      <c r="K270" s="293"/>
      <c r="L270" s="415"/>
      <c r="M270" s="415"/>
      <c r="N270" s="458"/>
      <c r="O270" s="292" t="s">
        <v>3817</v>
      </c>
      <c r="P270" s="388">
        <v>2.5000000000000001E-2</v>
      </c>
      <c r="Q270" s="167"/>
      <c r="R270" s="417"/>
      <c r="S270" s="292"/>
      <c r="T270" s="292"/>
      <c r="U270" s="292"/>
      <c r="V270" s="292" t="s">
        <v>1654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3793</v>
      </c>
      <c r="B271" s="104" t="s">
        <v>1511</v>
      </c>
      <c r="C271" s="122" t="s">
        <v>4643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134</v>
      </c>
      <c r="K271" s="293" t="s">
        <v>134</v>
      </c>
      <c r="L271" s="415">
        <v>44188</v>
      </c>
      <c r="M271" s="415">
        <v>44194</v>
      </c>
      <c r="N271" s="458"/>
      <c r="O271" s="292" t="s">
        <v>4158</v>
      </c>
      <c r="P271" s="388">
        <v>0.01</v>
      </c>
      <c r="Q271" s="167" t="s">
        <v>4645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127</v>
      </c>
      <c r="U271" s="292" t="s">
        <v>3824</v>
      </c>
      <c r="V271" s="292" t="s">
        <v>20</v>
      </c>
      <c r="W271" s="418" t="s">
        <v>3806</v>
      </c>
      <c r="X271" s="418" t="s">
        <v>3806</v>
      </c>
      <c r="Y271" s="418" t="s">
        <v>3806</v>
      </c>
      <c r="Z271" s="418" t="s">
        <v>3806</v>
      </c>
      <c r="AA271" s="418" t="s">
        <v>3806</v>
      </c>
      <c r="AB271" s="418" t="s">
        <v>3806</v>
      </c>
      <c r="AC271" s="418" t="s">
        <v>3806</v>
      </c>
      <c r="AD271" s="418" t="s">
        <v>3806</v>
      </c>
      <c r="AE271" s="418" t="s">
        <v>3806</v>
      </c>
      <c r="AF271" s="418" t="s">
        <v>3806</v>
      </c>
      <c r="AG271" s="418" t="s">
        <v>3806</v>
      </c>
      <c r="AH271" s="418" t="s">
        <v>3806</v>
      </c>
      <c r="AI271" s="418" t="s">
        <v>3806</v>
      </c>
      <c r="AJ271" s="418" t="s">
        <v>3806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3793</v>
      </c>
      <c r="B272" s="104" t="s">
        <v>4646</v>
      </c>
      <c r="C272" s="390" t="s">
        <v>4647</v>
      </c>
      <c r="D272" s="299">
        <v>8514028</v>
      </c>
      <c r="E272" s="293" t="s">
        <v>19</v>
      </c>
      <c r="F272" s="293" t="s">
        <v>66</v>
      </c>
      <c r="G272" s="299" t="s">
        <v>4648</v>
      </c>
      <c r="H272" s="293">
        <f>IFERROR(VLOOKUP(G272,'Cadastro de assessores'!A:B,2,FALSE),"Não Cadastrado")</f>
        <v>12358</v>
      </c>
      <c r="I272" s="293"/>
      <c r="J272" s="24" t="s">
        <v>125</v>
      </c>
      <c r="K272" s="293" t="s">
        <v>134</v>
      </c>
      <c r="L272" s="415">
        <v>44690</v>
      </c>
      <c r="M272" s="415">
        <v>44693</v>
      </c>
      <c r="N272" s="419">
        <v>44914</v>
      </c>
      <c r="O272" s="292" t="s">
        <v>3850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127</v>
      </c>
      <c r="U272" s="292" t="s">
        <v>3840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3793</v>
      </c>
      <c r="B273" s="104" t="s">
        <v>1553</v>
      </c>
      <c r="C273" s="122" t="s">
        <v>1551</v>
      </c>
      <c r="D273" s="292">
        <v>2358079</v>
      </c>
      <c r="E273" s="293" t="s">
        <v>19</v>
      </c>
      <c r="F273" s="293" t="s">
        <v>66</v>
      </c>
      <c r="G273" s="293" t="s">
        <v>3991</v>
      </c>
      <c r="H273" s="293">
        <f>IFERROR(VLOOKUP(G273,'Cadastro de assessores'!A:B,2,FALSE),"Não Cadastrado")</f>
        <v>12351</v>
      </c>
      <c r="I273" s="293"/>
      <c r="J273" s="24" t="s">
        <v>3796</v>
      </c>
      <c r="K273" s="293" t="s">
        <v>134</v>
      </c>
      <c r="L273" s="415">
        <v>44733</v>
      </c>
      <c r="M273" s="415">
        <v>44733</v>
      </c>
      <c r="N273" s="292"/>
      <c r="O273" s="292" t="s">
        <v>3813</v>
      </c>
      <c r="P273" s="388">
        <v>1.2E-2</v>
      </c>
      <c r="Q273" s="440" t="s">
        <v>4649</v>
      </c>
      <c r="R273" s="417"/>
      <c r="S273" s="292"/>
      <c r="T273" s="292" t="s">
        <v>127</v>
      </c>
      <c r="U273" s="306" t="s">
        <v>4057</v>
      </c>
      <c r="V273" s="292" t="s">
        <v>878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3793</v>
      </c>
      <c r="B274" s="104" t="s">
        <v>4650</v>
      </c>
      <c r="C274" s="122" t="s">
        <v>4651</v>
      </c>
      <c r="D274" s="292">
        <v>2864258</v>
      </c>
      <c r="E274" s="292" t="s">
        <v>2931</v>
      </c>
      <c r="F274" s="292" t="s">
        <v>20</v>
      </c>
      <c r="G274" s="292" t="s">
        <v>2931</v>
      </c>
      <c r="H274" s="292" t="str">
        <f>IFERROR(VLOOKUP(G274,'Cadastro de assessores'!A:B,2,FALSE),"Não Cadastrado")</f>
        <v>18986</v>
      </c>
      <c r="I274" s="292"/>
      <c r="J274" s="24" t="s">
        <v>125</v>
      </c>
      <c r="K274" s="292" t="s">
        <v>3802</v>
      </c>
      <c r="L274" s="387">
        <v>44070</v>
      </c>
      <c r="M274" s="387">
        <v>44070</v>
      </c>
      <c r="N274" s="292"/>
      <c r="O274" s="292" t="s">
        <v>3797</v>
      </c>
      <c r="P274" s="388">
        <v>0.02</v>
      </c>
      <c r="Q274" s="440" t="s">
        <v>4652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127</v>
      </c>
      <c r="U274" s="306" t="s">
        <v>3937</v>
      </c>
      <c r="V274" s="292" t="s">
        <v>20</v>
      </c>
      <c r="W274" s="418" t="s">
        <v>3806</v>
      </c>
      <c r="X274" s="418" t="s">
        <v>3806</v>
      </c>
      <c r="Y274" s="418" t="s">
        <v>3806</v>
      </c>
      <c r="Z274" s="418" t="s">
        <v>3806</v>
      </c>
      <c r="AA274" s="418" t="s">
        <v>3806</v>
      </c>
      <c r="AB274" s="418" t="s">
        <v>3806</v>
      </c>
      <c r="AC274" s="418" t="s">
        <v>3806</v>
      </c>
      <c r="AD274" s="418" t="s">
        <v>3806</v>
      </c>
      <c r="AE274" s="418" t="s">
        <v>3806</v>
      </c>
      <c r="AF274" s="418" t="s">
        <v>3806</v>
      </c>
      <c r="AG274" s="418" t="s">
        <v>4653</v>
      </c>
      <c r="AH274" s="418" t="s">
        <v>4654</v>
      </c>
      <c r="AI274" s="418" t="s">
        <v>4655</v>
      </c>
      <c r="AJ274" s="418" t="s">
        <v>4656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3793</v>
      </c>
      <c r="B275" s="104" t="s">
        <v>1580</v>
      </c>
      <c r="C275" s="441" t="s">
        <v>1577</v>
      </c>
      <c r="D275" s="426">
        <v>6879934</v>
      </c>
      <c r="E275" s="293" t="s">
        <v>19</v>
      </c>
      <c r="F275" s="293" t="s">
        <v>66</v>
      </c>
      <c r="G275" s="426" t="s">
        <v>67</v>
      </c>
      <c r="H275" s="293" t="str">
        <f>IFERROR(VLOOKUP(G275,'Cadastro de assessores'!A:B,2,FALSE),"Não Cadastrado")</f>
        <v>18890</v>
      </c>
      <c r="I275" s="293"/>
      <c r="J275" s="24" t="s">
        <v>3796</v>
      </c>
      <c r="K275" s="293" t="s">
        <v>134</v>
      </c>
      <c r="L275" s="415">
        <v>44567</v>
      </c>
      <c r="M275" s="415">
        <v>44568</v>
      </c>
      <c r="N275" s="426"/>
      <c r="O275" s="426" t="s">
        <v>4473</v>
      </c>
      <c r="P275" s="388">
        <v>1.0999999999999999E-2</v>
      </c>
      <c r="Q275" s="167" t="s">
        <v>4657</v>
      </c>
      <c r="R275" s="417"/>
      <c r="S275" s="292" t="str">
        <f t="shared" si="28"/>
        <v>Não Qualificado</v>
      </c>
      <c r="T275" s="292" t="s">
        <v>127</v>
      </c>
      <c r="U275" s="299" t="s">
        <v>4658</v>
      </c>
      <c r="V275" s="292" t="s">
        <v>66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3793</v>
      </c>
      <c r="B276" s="104" t="s">
        <v>4659</v>
      </c>
      <c r="C276" s="122" t="s">
        <v>4660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125</v>
      </c>
      <c r="K276" s="292" t="s">
        <v>3802</v>
      </c>
      <c r="L276" s="387">
        <v>44067</v>
      </c>
      <c r="M276" s="387">
        <v>44067</v>
      </c>
      <c r="N276" s="292"/>
      <c r="O276" s="292" t="s">
        <v>3817</v>
      </c>
      <c r="P276" s="388">
        <v>2.5000000000000001E-2</v>
      </c>
      <c r="Q276" s="420" t="s">
        <v>4661</v>
      </c>
      <c r="R276" s="417"/>
      <c r="S276" s="292" t="str">
        <f t="shared" si="28"/>
        <v>Qualificado</v>
      </c>
      <c r="T276" s="292" t="s">
        <v>127</v>
      </c>
      <c r="U276" s="292" t="s">
        <v>3824</v>
      </c>
      <c r="V276" s="292" t="s">
        <v>20</v>
      </c>
      <c r="W276" s="418" t="s">
        <v>3806</v>
      </c>
      <c r="X276" s="418" t="s">
        <v>3806</v>
      </c>
      <c r="Y276" s="418" t="s">
        <v>3806</v>
      </c>
      <c r="Z276" s="418" t="s">
        <v>3806</v>
      </c>
      <c r="AA276" s="418" t="s">
        <v>3806</v>
      </c>
      <c r="AB276" s="418" t="s">
        <v>3806</v>
      </c>
      <c r="AC276" s="418" t="s">
        <v>3806</v>
      </c>
      <c r="AD276" s="418" t="s">
        <v>3806</v>
      </c>
      <c r="AE276" s="418" t="s">
        <v>3806</v>
      </c>
      <c r="AF276" s="418" t="s">
        <v>3806</v>
      </c>
      <c r="AG276" s="418" t="s">
        <v>4662</v>
      </c>
      <c r="AH276" s="418" t="s">
        <v>4663</v>
      </c>
      <c r="AI276" s="418" t="s">
        <v>4664</v>
      </c>
      <c r="AJ276" s="418" t="s">
        <v>4665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2940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3793</v>
      </c>
      <c r="B277" s="104" t="s">
        <v>4666</v>
      </c>
      <c r="C277" s="122" t="s">
        <v>4667</v>
      </c>
      <c r="D277" s="292">
        <v>4868468</v>
      </c>
      <c r="E277" s="293" t="s">
        <v>46</v>
      </c>
      <c r="F277" s="293" t="s">
        <v>20</v>
      </c>
      <c r="G277" s="293" t="s">
        <v>3640</v>
      </c>
      <c r="H277" s="293" t="str">
        <f>IFERROR(VLOOKUP(G277,'Cadastro de assessores'!A:B,2,FALSE),"Não Cadastrado")</f>
        <v>14574</v>
      </c>
      <c r="I277" s="293"/>
      <c r="J277" s="24" t="s">
        <v>125</v>
      </c>
      <c r="K277" s="293" t="s">
        <v>134</v>
      </c>
      <c r="L277" s="415">
        <v>44246</v>
      </c>
      <c r="M277" s="415">
        <v>44246</v>
      </c>
      <c r="N277" s="387">
        <v>44896</v>
      </c>
      <c r="O277" s="292" t="s">
        <v>3803</v>
      </c>
      <c r="P277" s="388">
        <v>1.4999999999999999E-2</v>
      </c>
      <c r="Q277" s="420" t="s">
        <v>4668</v>
      </c>
      <c r="R277" s="417"/>
      <c r="S277" s="292" t="str">
        <f t="shared" si="28"/>
        <v/>
      </c>
      <c r="T277" s="292" t="s">
        <v>171</v>
      </c>
      <c r="U277" s="292" t="s">
        <v>4669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4670</v>
      </c>
      <c r="AI277" s="418" t="s">
        <v>4671</v>
      </c>
      <c r="AJ277" s="418" t="s">
        <v>4672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3793</v>
      </c>
      <c r="B278" s="104">
        <v>2696554170</v>
      </c>
      <c r="C278" s="122" t="s">
        <v>4673</v>
      </c>
      <c r="D278" s="292">
        <v>3713246</v>
      </c>
      <c r="E278" s="292" t="s">
        <v>2931</v>
      </c>
      <c r="F278" s="292" t="s">
        <v>20</v>
      </c>
      <c r="G278" s="292" t="s">
        <v>2931</v>
      </c>
      <c r="H278" s="292" t="str">
        <f>IFERROR(VLOOKUP(G278,'Cadastro de assessores'!A:B,2,FALSE),"Não Cadastrado")</f>
        <v>18986</v>
      </c>
      <c r="I278" s="292"/>
      <c r="J278" s="24" t="s">
        <v>125</v>
      </c>
      <c r="K278" s="292" t="s">
        <v>3802</v>
      </c>
      <c r="L278" s="387">
        <v>43850</v>
      </c>
      <c r="M278" s="387">
        <v>43850</v>
      </c>
      <c r="N278" s="387">
        <v>44252</v>
      </c>
      <c r="O278" s="292" t="s">
        <v>3813</v>
      </c>
      <c r="P278" s="388">
        <v>0.01</v>
      </c>
      <c r="Q278" s="420" t="s">
        <v>4674</v>
      </c>
      <c r="R278" s="417"/>
      <c r="S278" s="292" t="str">
        <f t="shared" si="28"/>
        <v>Não Qualificado</v>
      </c>
      <c r="T278" s="292" t="s">
        <v>127</v>
      </c>
      <c r="U278" s="292" t="s">
        <v>3999</v>
      </c>
      <c r="V278" s="292" t="s">
        <v>20</v>
      </c>
      <c r="W278" s="418" t="s">
        <v>3806</v>
      </c>
      <c r="X278" s="418" t="s">
        <v>3806</v>
      </c>
      <c r="Y278" s="418" t="s">
        <v>3806</v>
      </c>
      <c r="Z278" s="418" t="s">
        <v>4675</v>
      </c>
      <c r="AA278" s="418" t="s">
        <v>4676</v>
      </c>
      <c r="AB278" s="418" t="s">
        <v>4677</v>
      </c>
      <c r="AC278" s="418" t="s">
        <v>4678</v>
      </c>
      <c r="AD278" s="418" t="s">
        <v>4679</v>
      </c>
      <c r="AE278" s="418" t="s">
        <v>4680</v>
      </c>
      <c r="AF278" s="418" t="s">
        <v>4681</v>
      </c>
      <c r="AG278" s="418" t="s">
        <v>4682</v>
      </c>
      <c r="AH278" s="418" t="s">
        <v>4683</v>
      </c>
      <c r="AI278" s="418" t="s">
        <v>4684</v>
      </c>
      <c r="AJ278" s="418" t="s">
        <v>4685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2940</v>
      </c>
      <c r="BE278" s="339" t="s">
        <v>2940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3793</v>
      </c>
      <c r="B279" s="104" t="s">
        <v>4686</v>
      </c>
      <c r="C279" s="122" t="s">
        <v>4687</v>
      </c>
      <c r="D279" s="292">
        <v>2310651</v>
      </c>
      <c r="E279" s="292" t="s">
        <v>2931</v>
      </c>
      <c r="F279" s="292" t="s">
        <v>20</v>
      </c>
      <c r="G279" s="292" t="s">
        <v>2931</v>
      </c>
      <c r="H279" s="292" t="str">
        <f>IFERROR(VLOOKUP(G279,'Cadastro de assessores'!A:B,2,FALSE),"Não Cadastrado")</f>
        <v>18986</v>
      </c>
      <c r="I279" s="292"/>
      <c r="J279" s="24" t="s">
        <v>125</v>
      </c>
      <c r="K279" s="292" t="s">
        <v>3802</v>
      </c>
      <c r="L279" s="387">
        <v>43872</v>
      </c>
      <c r="M279" s="387">
        <v>43872</v>
      </c>
      <c r="N279" s="387">
        <v>44369</v>
      </c>
      <c r="O279" s="292" t="s">
        <v>3803</v>
      </c>
      <c r="P279" s="388">
        <v>1.4999999999999999E-2</v>
      </c>
      <c r="Q279" s="420" t="s">
        <v>4688</v>
      </c>
      <c r="R279" s="417"/>
      <c r="S279" s="292" t="str">
        <f t="shared" si="28"/>
        <v/>
      </c>
      <c r="T279" s="292" t="s">
        <v>127</v>
      </c>
      <c r="U279" s="292" t="s">
        <v>3999</v>
      </c>
      <c r="V279" s="292" t="s">
        <v>20</v>
      </c>
      <c r="W279" s="418" t="s">
        <v>3806</v>
      </c>
      <c r="X279" s="418" t="s">
        <v>3806</v>
      </c>
      <c r="Y279" s="418" t="s">
        <v>3806</v>
      </c>
      <c r="Z279" s="418" t="s">
        <v>4689</v>
      </c>
      <c r="AA279" s="418" t="s">
        <v>4690</v>
      </c>
      <c r="AB279" s="418" t="s">
        <v>4691</v>
      </c>
      <c r="AC279" s="418" t="s">
        <v>4692</v>
      </c>
      <c r="AD279" s="418" t="s">
        <v>4693</v>
      </c>
      <c r="AE279" s="418" t="s">
        <v>4694</v>
      </c>
      <c r="AF279" s="418" t="s">
        <v>4695</v>
      </c>
      <c r="AG279" s="418" t="s">
        <v>4696</v>
      </c>
      <c r="AH279" s="418"/>
      <c r="AI279" s="418" t="s">
        <v>4697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2940</v>
      </c>
      <c r="BE279" s="339" t="s">
        <v>2940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3793</v>
      </c>
      <c r="B280" s="104" t="s">
        <v>4698</v>
      </c>
      <c r="C280" s="390" t="s">
        <v>4699</v>
      </c>
      <c r="D280" s="299">
        <v>2256294</v>
      </c>
      <c r="E280" s="293" t="s">
        <v>19</v>
      </c>
      <c r="F280" s="293" t="s">
        <v>66</v>
      </c>
      <c r="G280" s="293" t="s">
        <v>316</v>
      </c>
      <c r="H280" s="293" t="str">
        <f>IFERROR(VLOOKUP(G280,'Cadastro de assessores'!A:B,2,FALSE),"Não Cadastrado")</f>
        <v>18009</v>
      </c>
      <c r="I280" s="293"/>
      <c r="J280" s="24" t="s">
        <v>3796</v>
      </c>
      <c r="K280" s="293" t="s">
        <v>134</v>
      </c>
      <c r="L280" s="415">
        <v>44421</v>
      </c>
      <c r="M280" s="415">
        <v>44421</v>
      </c>
      <c r="N280" s="292"/>
      <c r="O280" s="292" t="s">
        <v>3797</v>
      </c>
      <c r="P280" s="388">
        <v>0.02</v>
      </c>
      <c r="Q280" s="311"/>
      <c r="R280" s="417"/>
      <c r="S280" s="292" t="str">
        <f t="shared" si="28"/>
        <v/>
      </c>
      <c r="T280" s="292" t="s">
        <v>127</v>
      </c>
      <c r="U280" s="299" t="s">
        <v>4189</v>
      </c>
      <c r="V280" s="299" t="s">
        <v>793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3793</v>
      </c>
      <c r="B281" s="104" t="s">
        <v>1626</v>
      </c>
      <c r="C281" s="441" t="s">
        <v>1624</v>
      </c>
      <c r="D281" s="422">
        <v>3643555</v>
      </c>
      <c r="E281" s="293" t="s">
        <v>19</v>
      </c>
      <c r="F281" s="293" t="s">
        <v>66</v>
      </c>
      <c r="G281" s="293" t="s">
        <v>67</v>
      </c>
      <c r="H281" s="293" t="str">
        <f>IFERROR(VLOOKUP(G281,'Cadastro de assessores'!A:B,2,FALSE),"Não Cadastrado")</f>
        <v>18890</v>
      </c>
      <c r="I281" s="293"/>
      <c r="J281" s="24" t="s">
        <v>3796</v>
      </c>
      <c r="K281" s="293" t="s">
        <v>134</v>
      </c>
      <c r="L281" s="416">
        <v>44503</v>
      </c>
      <c r="M281" s="416">
        <v>44517</v>
      </c>
      <c r="N281" s="299"/>
      <c r="O281" s="299" t="s">
        <v>3803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127</v>
      </c>
      <c r="U281" s="292" t="s">
        <v>3975</v>
      </c>
      <c r="V281" s="292" t="s">
        <v>66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3793</v>
      </c>
      <c r="B282" s="104" t="s">
        <v>4700</v>
      </c>
      <c r="C282" s="122" t="s">
        <v>4701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125</v>
      </c>
      <c r="K282" s="292" t="s">
        <v>3802</v>
      </c>
      <c r="L282" s="419">
        <v>44389</v>
      </c>
      <c r="M282" s="419">
        <v>44389</v>
      </c>
      <c r="N282" s="387">
        <v>44613</v>
      </c>
      <c r="O282" s="292" t="s">
        <v>3797</v>
      </c>
      <c r="P282" s="388">
        <v>0.02</v>
      </c>
      <c r="Q282" s="167" t="s">
        <v>4702</v>
      </c>
      <c r="R282" s="417"/>
      <c r="S282" s="292" t="str">
        <f t="shared" si="28"/>
        <v/>
      </c>
      <c r="T282" s="292" t="s">
        <v>127</v>
      </c>
      <c r="U282" s="292" t="s">
        <v>3937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2940</v>
      </c>
      <c r="BE282" s="339" t="s">
        <v>2940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3793</v>
      </c>
      <c r="B283" s="104" t="s">
        <v>4703</v>
      </c>
      <c r="C283" s="122" t="s">
        <v>4704</v>
      </c>
      <c r="D283" s="292">
        <v>4697985</v>
      </c>
      <c r="E283" s="292" t="s">
        <v>46</v>
      </c>
      <c r="F283" s="292" t="s">
        <v>20</v>
      </c>
      <c r="G283" s="292" t="s">
        <v>4480</v>
      </c>
      <c r="H283" s="292" t="str">
        <f>IFERROR(VLOOKUP(G283,'Cadastro de assessores'!A:B,2,FALSE),"Não Cadastrado")</f>
        <v>14244</v>
      </c>
      <c r="I283" s="292"/>
      <c r="J283" s="24" t="s">
        <v>125</v>
      </c>
      <c r="K283" s="292" t="s">
        <v>3802</v>
      </c>
      <c r="L283" s="419">
        <v>44187</v>
      </c>
      <c r="M283" s="419">
        <v>44187</v>
      </c>
      <c r="N283" s="387">
        <v>44467</v>
      </c>
      <c r="O283" s="292" t="s">
        <v>3797</v>
      </c>
      <c r="P283" s="388">
        <v>0.02</v>
      </c>
      <c r="Q283" s="420" t="s">
        <v>4705</v>
      </c>
      <c r="R283" s="417"/>
      <c r="S283" s="292" t="str">
        <f t="shared" si="28"/>
        <v/>
      </c>
      <c r="T283" s="292" t="s">
        <v>127</v>
      </c>
      <c r="U283" s="292" t="s">
        <v>3831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4706</v>
      </c>
      <c r="AI283" s="418" t="s">
        <v>3806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2940</v>
      </c>
      <c r="BE283" s="339" t="s">
        <v>2940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3793</v>
      </c>
      <c r="B284" s="104" t="s">
        <v>1637</v>
      </c>
      <c r="C284" s="390" t="s">
        <v>4707</v>
      </c>
      <c r="D284" s="422">
        <v>5927535</v>
      </c>
      <c r="E284" s="293" t="s">
        <v>19</v>
      </c>
      <c r="F284" s="293" t="s">
        <v>66</v>
      </c>
      <c r="G284" s="293" t="s">
        <v>3991</v>
      </c>
      <c r="H284" s="292">
        <f>IFERROR(VLOOKUP(G284,'Cadastro de assessores'!A:B,2,FALSE),"Não Cadastrado")</f>
        <v>12351</v>
      </c>
      <c r="I284" s="292"/>
      <c r="J284" s="24" t="s">
        <v>125</v>
      </c>
      <c r="K284" s="293" t="s">
        <v>134</v>
      </c>
      <c r="L284" s="423">
        <v>44776</v>
      </c>
      <c r="M284" s="423">
        <v>44776</v>
      </c>
      <c r="N284" s="292"/>
      <c r="O284" s="292" t="s">
        <v>3817</v>
      </c>
      <c r="P284" s="388">
        <v>2.5000000000000001E-2</v>
      </c>
      <c r="Q284" s="167" t="s">
        <v>4708</v>
      </c>
      <c r="R284" s="417"/>
      <c r="S284" s="292"/>
      <c r="T284" s="292" t="s">
        <v>127</v>
      </c>
      <c r="U284" s="292" t="s">
        <v>3849</v>
      </c>
      <c r="V284" s="292" t="s">
        <v>66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3793</v>
      </c>
      <c r="B285" s="104" t="s">
        <v>1660</v>
      </c>
      <c r="C285" s="390" t="s">
        <v>1658</v>
      </c>
      <c r="D285" s="422">
        <v>218909</v>
      </c>
      <c r="E285" s="293" t="s">
        <v>19</v>
      </c>
      <c r="F285" s="293" t="s">
        <v>20</v>
      </c>
      <c r="G285" s="293" t="s">
        <v>791</v>
      </c>
      <c r="H285" s="299" t="str">
        <f>IFERROR(VLOOKUP(G285,'Cadastro de assessores'!A:B,2,FALSE),"Não Cadastrado")</f>
        <v>18467</v>
      </c>
      <c r="I285" s="299"/>
      <c r="J285" s="24" t="s">
        <v>3796</v>
      </c>
      <c r="K285" s="293" t="s">
        <v>134</v>
      </c>
      <c r="L285" s="423">
        <v>44658</v>
      </c>
      <c r="M285" s="423">
        <v>44659</v>
      </c>
      <c r="N285" s="292"/>
      <c r="O285" s="292" t="s">
        <v>3813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127</v>
      </c>
      <c r="U285" s="292" t="s">
        <v>3824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3793</v>
      </c>
      <c r="B286" s="104" t="s">
        <v>3311</v>
      </c>
      <c r="C286" s="122" t="s">
        <v>3309</v>
      </c>
      <c r="D286" s="292">
        <v>2865175</v>
      </c>
      <c r="E286" s="292" t="s">
        <v>2931</v>
      </c>
      <c r="F286" s="292" t="s">
        <v>20</v>
      </c>
      <c r="G286" s="292" t="s">
        <v>2931</v>
      </c>
      <c r="H286" s="292" t="str">
        <f>IFERROR(VLOOKUP(G286,'Cadastro de assessores'!A:B,2,FALSE),"Não Cadastrado")</f>
        <v>18986</v>
      </c>
      <c r="I286" s="292"/>
      <c r="J286" s="24" t="s">
        <v>125</v>
      </c>
      <c r="K286" s="292" t="s">
        <v>3802</v>
      </c>
      <c r="L286" s="387">
        <v>43700</v>
      </c>
      <c r="M286" s="387">
        <v>43700</v>
      </c>
      <c r="N286" s="465">
        <v>44105</v>
      </c>
      <c r="O286" s="292" t="s">
        <v>3803</v>
      </c>
      <c r="P286" s="388">
        <v>0.01</v>
      </c>
      <c r="Q286" s="420" t="s">
        <v>4709</v>
      </c>
      <c r="R286" s="417"/>
      <c r="S286" s="292" t="str">
        <f t="shared" si="29"/>
        <v/>
      </c>
      <c r="T286" s="292" t="s">
        <v>127</v>
      </c>
      <c r="U286" s="292" t="s">
        <v>3831</v>
      </c>
      <c r="V286" s="292" t="s">
        <v>20</v>
      </c>
      <c r="W286" s="418" t="s">
        <v>4710</v>
      </c>
      <c r="X286" s="418"/>
      <c r="Y286" s="418" t="s">
        <v>4711</v>
      </c>
      <c r="Z286" s="418" t="s">
        <v>4712</v>
      </c>
      <c r="AA286" s="418" t="s">
        <v>4713</v>
      </c>
      <c r="AB286" s="418" t="s">
        <v>4714</v>
      </c>
      <c r="AC286" s="418" t="s">
        <v>4715</v>
      </c>
      <c r="AD286" s="418" t="s">
        <v>4716</v>
      </c>
      <c r="AE286" s="418" t="s">
        <v>4717</v>
      </c>
      <c r="AF286" s="418" t="s">
        <v>4718</v>
      </c>
      <c r="AG286" s="418" t="s">
        <v>4719</v>
      </c>
      <c r="AH286" s="418" t="s">
        <v>3806</v>
      </c>
      <c r="AI286" s="418" t="s">
        <v>3806</v>
      </c>
      <c r="AJ286" s="418" t="s">
        <v>3806</v>
      </c>
      <c r="AK286" s="339">
        <v>332098.88</v>
      </c>
      <c r="AL286" s="339">
        <v>324200.71000000002</v>
      </c>
      <c r="AM286" s="339" t="s">
        <v>3154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2940</v>
      </c>
      <c r="BE286" s="339" t="s">
        <v>2940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3793</v>
      </c>
      <c r="B287" s="104" t="s">
        <v>1664</v>
      </c>
      <c r="C287" s="122" t="s">
        <v>1661</v>
      </c>
      <c r="D287" s="292">
        <v>4954616</v>
      </c>
      <c r="E287" s="292" t="s">
        <v>19</v>
      </c>
      <c r="F287" s="292" t="s">
        <v>66</v>
      </c>
      <c r="G287" s="292" t="s">
        <v>67</v>
      </c>
      <c r="H287" s="292"/>
      <c r="I287" s="292"/>
      <c r="J287" s="24" t="s">
        <v>3796</v>
      </c>
      <c r="K287" s="292"/>
      <c r="L287" s="387"/>
      <c r="M287" s="387"/>
      <c r="N287" s="419"/>
      <c r="O287" s="292" t="s">
        <v>3810</v>
      </c>
      <c r="P287" s="388">
        <v>0.01</v>
      </c>
      <c r="Q287" s="420"/>
      <c r="R287" s="417"/>
      <c r="S287" s="292"/>
      <c r="T287" s="292"/>
      <c r="U287" s="292"/>
      <c r="V287" s="292" t="s">
        <v>66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3793</v>
      </c>
      <c r="B288" s="398" t="s">
        <v>4720</v>
      </c>
      <c r="C288" s="122" t="s">
        <v>4721</v>
      </c>
      <c r="D288" s="292">
        <v>9398037</v>
      </c>
      <c r="E288" s="292" t="s">
        <v>19</v>
      </c>
      <c r="F288" s="292" t="s">
        <v>20</v>
      </c>
      <c r="G288" s="292" t="s">
        <v>935</v>
      </c>
      <c r="H288" s="292"/>
      <c r="I288" s="292"/>
      <c r="J288" s="24" t="s">
        <v>134</v>
      </c>
      <c r="K288" s="292"/>
      <c r="L288" s="387"/>
      <c r="M288" s="387"/>
      <c r="N288" s="419"/>
      <c r="O288" s="292" t="s">
        <v>3803</v>
      </c>
      <c r="P288" s="388">
        <v>1.4999999999999999E-2</v>
      </c>
      <c r="Q288" s="420" t="s">
        <v>4722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3793</v>
      </c>
      <c r="B289" s="104" t="s">
        <v>4723</v>
      </c>
      <c r="C289" s="122" t="s">
        <v>4724</v>
      </c>
      <c r="D289" s="292">
        <v>4645513</v>
      </c>
      <c r="E289" s="292" t="s">
        <v>46</v>
      </c>
      <c r="F289" s="292" t="s">
        <v>20</v>
      </c>
      <c r="G289" s="292" t="s">
        <v>4066</v>
      </c>
      <c r="H289" s="292" t="str">
        <f>IFERROR(VLOOKUP(G289,'Cadastro de assessores'!A:B,2,FALSE),"Não Cadastrado")</f>
        <v>19634</v>
      </c>
      <c r="I289" s="292"/>
      <c r="J289" s="24" t="s">
        <v>125</v>
      </c>
      <c r="K289" s="292" t="s">
        <v>3802</v>
      </c>
      <c r="L289" s="387">
        <v>44172</v>
      </c>
      <c r="M289" s="387">
        <v>44172</v>
      </c>
      <c r="N289" s="419">
        <v>44495</v>
      </c>
      <c r="O289" s="292" t="s">
        <v>3797</v>
      </c>
      <c r="P289" s="388">
        <v>0.02</v>
      </c>
      <c r="Q289" s="420" t="s">
        <v>4725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127</v>
      </c>
      <c r="U289" s="292" t="s">
        <v>4726</v>
      </c>
      <c r="V289" s="292" t="s">
        <v>66</v>
      </c>
      <c r="W289" s="418" t="s">
        <v>3806</v>
      </c>
      <c r="X289" s="418" t="s">
        <v>3806</v>
      </c>
      <c r="Y289" s="418" t="s">
        <v>3806</v>
      </c>
      <c r="Z289" s="418" t="s">
        <v>3806</v>
      </c>
      <c r="AA289" s="418" t="s">
        <v>3806</v>
      </c>
      <c r="AB289" s="418" t="s">
        <v>3806</v>
      </c>
      <c r="AC289" s="418" t="s">
        <v>3806</v>
      </c>
      <c r="AD289" s="418" t="s">
        <v>3806</v>
      </c>
      <c r="AE289" s="418" t="s">
        <v>3806</v>
      </c>
      <c r="AF289" s="418" t="s">
        <v>3806</v>
      </c>
      <c r="AG289" s="418" t="s">
        <v>3806</v>
      </c>
      <c r="AH289" s="418" t="s">
        <v>3806</v>
      </c>
      <c r="AI289" s="418" t="s">
        <v>4727</v>
      </c>
      <c r="AJ289" s="418" t="s">
        <v>4728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2940</v>
      </c>
      <c r="BE289" s="339" t="s">
        <v>2940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3793</v>
      </c>
      <c r="B290" s="104" t="s">
        <v>1672</v>
      </c>
      <c r="C290" s="390" t="s">
        <v>3663</v>
      </c>
      <c r="D290" s="299">
        <v>8126020</v>
      </c>
      <c r="E290" s="293" t="s">
        <v>19</v>
      </c>
      <c r="F290" s="293" t="s">
        <v>20</v>
      </c>
      <c r="G290" s="299" t="s">
        <v>2518</v>
      </c>
      <c r="H290" s="299"/>
      <c r="I290" s="299"/>
      <c r="J290" s="24" t="s">
        <v>3796</v>
      </c>
      <c r="K290" s="293"/>
      <c r="L290" s="415"/>
      <c r="M290" s="415"/>
      <c r="N290" s="292"/>
      <c r="O290" s="292" t="s">
        <v>3803</v>
      </c>
      <c r="P290" s="388">
        <v>1.4999999999999999E-2</v>
      </c>
      <c r="Q290" s="167" t="s">
        <v>4729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3793</v>
      </c>
      <c r="B291" s="104" t="s">
        <v>4730</v>
      </c>
      <c r="C291" s="390" t="s">
        <v>4731</v>
      </c>
      <c r="D291" s="299">
        <v>5905556</v>
      </c>
      <c r="E291" s="293" t="s">
        <v>19</v>
      </c>
      <c r="F291" s="293" t="s">
        <v>20</v>
      </c>
      <c r="G291" s="299" t="s">
        <v>3080</v>
      </c>
      <c r="H291" s="299" t="str">
        <f>IFERROR(VLOOKUP(G291,'Cadastro de assessores'!A:B,2,FALSE),"Não Cadastrado")</f>
        <v>18236</v>
      </c>
      <c r="I291" s="299"/>
      <c r="J291" s="24" t="s">
        <v>3796</v>
      </c>
      <c r="K291" s="293" t="s">
        <v>134</v>
      </c>
      <c r="L291" s="415">
        <v>44389</v>
      </c>
      <c r="M291" s="415">
        <v>44393</v>
      </c>
      <c r="N291" s="292"/>
      <c r="O291" s="292" t="s">
        <v>3797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127</v>
      </c>
      <c r="U291" s="292" t="s">
        <v>3831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3793</v>
      </c>
      <c r="B292" s="104" t="s">
        <v>4732</v>
      </c>
      <c r="C292" s="122" t="s">
        <v>4733</v>
      </c>
      <c r="D292" s="292">
        <v>4554462</v>
      </c>
      <c r="E292" s="292" t="s">
        <v>46</v>
      </c>
      <c r="F292" s="292" t="s">
        <v>20</v>
      </c>
      <c r="G292" s="292" t="s">
        <v>4734</v>
      </c>
      <c r="H292" s="292" t="str">
        <f>IFERROR(VLOOKUP(G292,'Cadastro de assessores'!A:B,2,FALSE),"Não Cadastrado")</f>
        <v>12639</v>
      </c>
      <c r="I292" s="292"/>
      <c r="J292" s="24" t="s">
        <v>125</v>
      </c>
      <c r="K292" s="292" t="s">
        <v>3802</v>
      </c>
      <c r="L292" s="419">
        <v>44130</v>
      </c>
      <c r="M292" s="419">
        <v>44130</v>
      </c>
      <c r="N292" s="387">
        <v>44538</v>
      </c>
      <c r="O292" s="292" t="s">
        <v>3803</v>
      </c>
      <c r="P292" s="388">
        <v>1.4999999999999999E-2</v>
      </c>
      <c r="Q292" s="420" t="s">
        <v>4735</v>
      </c>
      <c r="R292" s="417"/>
      <c r="S292" s="292" t="str">
        <f t="shared" si="30"/>
        <v>Não Qualificado</v>
      </c>
      <c r="T292" s="292" t="s">
        <v>127</v>
      </c>
      <c r="U292" s="292" t="s">
        <v>3805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4736</v>
      </c>
      <c r="AJ292" s="418" t="s">
        <v>4728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2940</v>
      </c>
      <c r="BE292" s="339" t="s">
        <v>2940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3793</v>
      </c>
      <c r="B293" s="104" t="s">
        <v>4737</v>
      </c>
      <c r="C293" s="390" t="s">
        <v>4738</v>
      </c>
      <c r="D293" s="293">
        <v>4988368</v>
      </c>
      <c r="E293" s="293" t="s">
        <v>19</v>
      </c>
      <c r="F293" s="293" t="s">
        <v>20</v>
      </c>
      <c r="G293" s="293" t="s">
        <v>3166</v>
      </c>
      <c r="H293" s="292" t="str">
        <f>IFERROR(VLOOKUP(G293,'Cadastro de assessores'!A:B,2,FALSE),"Não Cadastrado")</f>
        <v>13444</v>
      </c>
      <c r="I293" s="292"/>
      <c r="J293" s="24" t="s">
        <v>134</v>
      </c>
      <c r="K293" s="293" t="s">
        <v>134</v>
      </c>
      <c r="L293" s="415">
        <v>44293</v>
      </c>
      <c r="M293" s="415">
        <v>44293</v>
      </c>
      <c r="N293" s="299"/>
      <c r="O293" s="299" t="s">
        <v>3850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127</v>
      </c>
      <c r="U293" s="292" t="s">
        <v>3931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3793</v>
      </c>
      <c r="B294" s="104" t="s">
        <v>1679</v>
      </c>
      <c r="C294" s="390" t="s">
        <v>4739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3796</v>
      </c>
      <c r="K294" s="293"/>
      <c r="L294" s="423"/>
      <c r="M294" s="423">
        <v>44945</v>
      </c>
      <c r="N294" s="292"/>
      <c r="O294" s="292" t="s">
        <v>3810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3793</v>
      </c>
      <c r="B295" s="104" t="s">
        <v>4740</v>
      </c>
      <c r="C295" s="390" t="s">
        <v>4741</v>
      </c>
      <c r="D295" s="422">
        <v>8023410</v>
      </c>
      <c r="E295" s="293" t="s">
        <v>19</v>
      </c>
      <c r="F295" s="293" t="s">
        <v>66</v>
      </c>
      <c r="G295" s="293" t="s">
        <v>265</v>
      </c>
      <c r="H295" s="293" t="str">
        <f>IFERROR(VLOOKUP(G295,'Cadastro de assessores'!A:B,2,FALSE),"Não Cadastrado")</f>
        <v>17831</v>
      </c>
      <c r="I295" s="293"/>
      <c r="J295" s="24" t="s">
        <v>3796</v>
      </c>
      <c r="K295" s="293" t="s">
        <v>134</v>
      </c>
      <c r="L295" s="423">
        <v>44617</v>
      </c>
      <c r="M295" s="423">
        <v>44642</v>
      </c>
      <c r="N295" s="292"/>
      <c r="O295" s="292" t="s">
        <v>3813</v>
      </c>
      <c r="P295" s="388">
        <v>1.2E-2</v>
      </c>
      <c r="Q295" s="420" t="s">
        <v>4742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127</v>
      </c>
      <c r="U295" s="292" t="s">
        <v>3849</v>
      </c>
      <c r="V295" s="292" t="s">
        <v>66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3793</v>
      </c>
      <c r="B296" s="104" t="s">
        <v>1693</v>
      </c>
      <c r="C296" s="122" t="s">
        <v>4743</v>
      </c>
      <c r="D296" s="306">
        <v>4680314</v>
      </c>
      <c r="E296" s="293" t="s">
        <v>19</v>
      </c>
      <c r="F296" s="293" t="s">
        <v>20</v>
      </c>
      <c r="G296" s="293" t="s">
        <v>4744</v>
      </c>
      <c r="H296" s="293">
        <f>IFERROR(VLOOKUP(G296,'Cadastro de assessores'!A:B,2,FALSE),"Não Cadastrado")</f>
        <v>12340</v>
      </c>
      <c r="I296" s="293"/>
      <c r="J296" s="24" t="s">
        <v>3796</v>
      </c>
      <c r="K296" s="293" t="s">
        <v>134</v>
      </c>
      <c r="L296" s="416">
        <v>44181</v>
      </c>
      <c r="M296" s="416">
        <v>44186</v>
      </c>
      <c r="N296" s="292"/>
      <c r="O296" s="292" t="s">
        <v>3803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127</v>
      </c>
      <c r="U296" s="292" t="s">
        <v>3840</v>
      </c>
      <c r="V296" s="292" t="s">
        <v>20</v>
      </c>
      <c r="W296" s="418" t="s">
        <v>3806</v>
      </c>
      <c r="X296" s="418" t="s">
        <v>3806</v>
      </c>
      <c r="Y296" s="418" t="s">
        <v>3806</v>
      </c>
      <c r="Z296" s="418" t="s">
        <v>3806</v>
      </c>
      <c r="AA296" s="418" t="s">
        <v>3806</v>
      </c>
      <c r="AB296" s="418" t="s">
        <v>3806</v>
      </c>
      <c r="AC296" s="418" t="s">
        <v>3806</v>
      </c>
      <c r="AD296" s="418" t="s">
        <v>3806</v>
      </c>
      <c r="AE296" s="418" t="s">
        <v>3806</v>
      </c>
      <c r="AF296" s="418" t="s">
        <v>3806</v>
      </c>
      <c r="AG296" s="418" t="s">
        <v>3806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3793</v>
      </c>
      <c r="B297" s="104" t="s">
        <v>4745</v>
      </c>
      <c r="C297" s="390" t="s">
        <v>4746</v>
      </c>
      <c r="D297" s="422">
        <v>7667659</v>
      </c>
      <c r="E297" s="293" t="s">
        <v>19</v>
      </c>
      <c r="F297" s="293" t="s">
        <v>66</v>
      </c>
      <c r="G297" s="293" t="s">
        <v>67</v>
      </c>
      <c r="H297" s="293" t="str">
        <f>IFERROR(VLOOKUP(G297,'Cadastro de assessores'!A:B,2,FALSE),"Não Cadastrado")</f>
        <v>18890</v>
      </c>
      <c r="I297" s="293"/>
      <c r="J297" s="24" t="s">
        <v>134</v>
      </c>
      <c r="K297" s="293" t="s">
        <v>134</v>
      </c>
      <c r="L297" s="423">
        <v>44641</v>
      </c>
      <c r="M297" s="423">
        <v>44645</v>
      </c>
      <c r="N297" s="292"/>
      <c r="O297" s="292" t="s">
        <v>3810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127</v>
      </c>
      <c r="U297" s="292" t="s">
        <v>4747</v>
      </c>
      <c r="V297" s="292" t="s">
        <v>66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3793</v>
      </c>
      <c r="B298" s="104" t="s">
        <v>4748</v>
      </c>
      <c r="C298" s="122" t="s">
        <v>4749</v>
      </c>
      <c r="D298" s="293">
        <v>2417083</v>
      </c>
      <c r="E298" s="293" t="s">
        <v>19</v>
      </c>
      <c r="F298" s="293" t="s">
        <v>66</v>
      </c>
      <c r="G298" s="293" t="s">
        <v>265</v>
      </c>
      <c r="H298" s="293" t="str">
        <f>IFERROR(VLOOKUP(G298,'Cadastro de assessores'!A:B,2,FALSE),"Não Cadastrado")</f>
        <v>17831</v>
      </c>
      <c r="I298" s="293"/>
      <c r="J298" s="24" t="s">
        <v>125</v>
      </c>
      <c r="K298" s="293" t="s">
        <v>134</v>
      </c>
      <c r="L298" s="416">
        <v>44762</v>
      </c>
      <c r="M298" s="416">
        <v>44790</v>
      </c>
      <c r="N298" s="387">
        <v>44939</v>
      </c>
      <c r="O298" s="292" t="s">
        <v>3813</v>
      </c>
      <c r="P298" s="388">
        <v>1.2E-2</v>
      </c>
      <c r="Q298" s="420" t="s">
        <v>4750</v>
      </c>
      <c r="R298" s="417"/>
      <c r="S298" s="292"/>
      <c r="T298" s="292"/>
      <c r="U298" s="292"/>
      <c r="V298" s="292" t="s">
        <v>3154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3793</v>
      </c>
      <c r="B299" s="104" t="s">
        <v>1698</v>
      </c>
      <c r="C299" s="390" t="s">
        <v>4751</v>
      </c>
      <c r="D299" s="319">
        <v>2114710</v>
      </c>
      <c r="E299" s="293" t="s">
        <v>19</v>
      </c>
      <c r="F299" s="293" t="s">
        <v>66</v>
      </c>
      <c r="G299" s="466" t="s">
        <v>4752</v>
      </c>
      <c r="H299" s="293" t="str">
        <f>IFERROR(VLOOKUP(G299,'Cadastro de assessores'!A:B,2,FALSE),"Não Cadastrado")</f>
        <v>Não Cadastrado</v>
      </c>
      <c r="I299" s="293"/>
      <c r="J299" s="24" t="s">
        <v>3796</v>
      </c>
      <c r="K299" s="293" t="s">
        <v>134</v>
      </c>
      <c r="L299" s="423">
        <v>44799</v>
      </c>
      <c r="M299" s="423">
        <v>44799</v>
      </c>
      <c r="N299" s="292"/>
      <c r="O299" s="292" t="s">
        <v>3813</v>
      </c>
      <c r="P299" s="388">
        <v>1.2E-2</v>
      </c>
      <c r="Q299" s="420" t="s">
        <v>4753</v>
      </c>
      <c r="R299" s="417"/>
      <c r="S299" s="292"/>
      <c r="T299" s="292"/>
      <c r="U299" s="292"/>
      <c r="V299" s="292" t="s">
        <v>66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3793</v>
      </c>
      <c r="B300" s="104" t="s">
        <v>1707</v>
      </c>
      <c r="C300" s="390" t="s">
        <v>1705</v>
      </c>
      <c r="D300" s="422">
        <v>7772568</v>
      </c>
      <c r="E300" s="293" t="s">
        <v>19</v>
      </c>
      <c r="F300" s="293" t="s">
        <v>20</v>
      </c>
      <c r="G300" s="293" t="s">
        <v>184</v>
      </c>
      <c r="H300" s="293">
        <f>IFERROR(VLOOKUP(G300,'Cadastro de assessores'!A:B,2,FALSE),"Não Cadastrado")</f>
        <v>12332</v>
      </c>
      <c r="I300" s="293"/>
      <c r="J300" s="24" t="s">
        <v>125</v>
      </c>
      <c r="K300" s="293" t="s">
        <v>134</v>
      </c>
      <c r="L300" s="423">
        <v>44636</v>
      </c>
      <c r="M300" s="423">
        <v>44637</v>
      </c>
      <c r="N300" s="292"/>
      <c r="O300" s="292" t="s">
        <v>3810</v>
      </c>
      <c r="P300" s="388">
        <v>7.0000000000000001E-3</v>
      </c>
      <c r="Q300" s="420" t="s">
        <v>4754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127</v>
      </c>
      <c r="U300" s="292" t="s">
        <v>4755</v>
      </c>
      <c r="V300" s="292" t="s">
        <v>575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3793</v>
      </c>
      <c r="B301" s="104" t="s">
        <v>1710</v>
      </c>
      <c r="C301" s="390" t="s">
        <v>1708</v>
      </c>
      <c r="D301" s="422">
        <v>5702220</v>
      </c>
      <c r="E301" s="293" t="s">
        <v>19</v>
      </c>
      <c r="F301" s="293" t="s">
        <v>20</v>
      </c>
      <c r="G301" s="293" t="s">
        <v>360</v>
      </c>
      <c r="H301" s="293">
        <f>IFERROR(VLOOKUP(G301,'Cadastro de assessores'!A:B,2,FALSE),"Não Cadastrado")</f>
        <v>12359</v>
      </c>
      <c r="I301" s="293"/>
      <c r="J301" s="24" t="s">
        <v>134</v>
      </c>
      <c r="K301" s="293" t="s">
        <v>134</v>
      </c>
      <c r="L301" s="423">
        <v>44655</v>
      </c>
      <c r="M301" s="423">
        <v>44656</v>
      </c>
      <c r="N301" s="292"/>
      <c r="O301" s="292" t="s">
        <v>3797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127</v>
      </c>
      <c r="U301" s="292" t="s">
        <v>3824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2940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3793</v>
      </c>
      <c r="B302" s="104" t="s">
        <v>4756</v>
      </c>
      <c r="C302" s="390" t="s">
        <v>4757</v>
      </c>
      <c r="D302" s="422">
        <v>8450642</v>
      </c>
      <c r="E302" s="293" t="s">
        <v>19</v>
      </c>
      <c r="F302" s="293" t="s">
        <v>66</v>
      </c>
      <c r="G302" s="293" t="s">
        <v>316</v>
      </c>
      <c r="H302" s="293" t="str">
        <f>IFERROR(VLOOKUP(G302,'Cadastro de assessores'!A:B,2,FALSE),"Não Cadastrado")</f>
        <v>18009</v>
      </c>
      <c r="I302" s="293"/>
      <c r="J302" s="24" t="s">
        <v>125</v>
      </c>
      <c r="K302" s="293" t="s">
        <v>134</v>
      </c>
      <c r="L302" s="423">
        <v>44671</v>
      </c>
      <c r="M302" s="423">
        <v>44679</v>
      </c>
      <c r="N302" s="419">
        <v>44890</v>
      </c>
      <c r="O302" s="292" t="s">
        <v>3803</v>
      </c>
      <c r="P302" s="388">
        <v>1.4999999999999999E-2</v>
      </c>
      <c r="Q302" s="467" t="s">
        <v>4758</v>
      </c>
      <c r="R302" s="417"/>
      <c r="S302" s="292" t="str">
        <f t="shared" si="32"/>
        <v>Não Qualificado</v>
      </c>
      <c r="T302" s="292" t="s">
        <v>127</v>
      </c>
      <c r="U302" s="292" t="s">
        <v>3849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3793</v>
      </c>
      <c r="B303" s="104" t="s">
        <v>4759</v>
      </c>
      <c r="C303" s="122" t="s">
        <v>4760</v>
      </c>
      <c r="D303" s="292">
        <v>4859807</v>
      </c>
      <c r="E303" s="292" t="s">
        <v>46</v>
      </c>
      <c r="F303" s="292" t="s">
        <v>2054</v>
      </c>
      <c r="G303" s="292" t="s">
        <v>4761</v>
      </c>
      <c r="H303" s="292" t="str">
        <f>IFERROR(VLOOKUP(G303,'Cadastro de assessores'!A:B,2,FALSE),"Não Cadastrado")</f>
        <v>1449</v>
      </c>
      <c r="I303" s="292"/>
      <c r="J303" s="24" t="s">
        <v>125</v>
      </c>
      <c r="K303" s="292" t="s">
        <v>3802</v>
      </c>
      <c r="L303" s="387">
        <v>44246</v>
      </c>
      <c r="M303" s="387">
        <v>44246</v>
      </c>
      <c r="N303" s="387">
        <v>44319</v>
      </c>
      <c r="O303" s="292" t="s">
        <v>3797</v>
      </c>
      <c r="P303" s="388">
        <v>0.02</v>
      </c>
      <c r="Q303" s="420" t="s">
        <v>4762</v>
      </c>
      <c r="R303" s="417"/>
      <c r="S303" s="292" t="str">
        <f t="shared" si="32"/>
        <v>Não Qualificado</v>
      </c>
      <c r="T303" s="292" t="s">
        <v>127</v>
      </c>
      <c r="U303" s="292" t="s">
        <v>3805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4763</v>
      </c>
      <c r="AI303" s="418" t="s">
        <v>4764</v>
      </c>
      <c r="AJ303" s="418" t="s">
        <v>4765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2940</v>
      </c>
      <c r="BE303" s="339" t="s">
        <v>2940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3793</v>
      </c>
      <c r="B304" s="104" t="s">
        <v>4766</v>
      </c>
      <c r="C304" s="390" t="s">
        <v>4767</v>
      </c>
      <c r="D304" s="299">
        <v>5627240</v>
      </c>
      <c r="E304" s="293" t="s">
        <v>19</v>
      </c>
      <c r="F304" s="293" t="s">
        <v>66</v>
      </c>
      <c r="G304" s="293" t="s">
        <v>316</v>
      </c>
      <c r="H304" s="293" t="str">
        <f>IFERROR(VLOOKUP(G304,'Cadastro de assessores'!A:B,2,FALSE),"Não Cadastrado")</f>
        <v>18009</v>
      </c>
      <c r="I304" s="293"/>
      <c r="J304" s="24" t="s">
        <v>3796</v>
      </c>
      <c r="K304" s="293" t="s">
        <v>134</v>
      </c>
      <c r="L304" s="415">
        <v>44361</v>
      </c>
      <c r="M304" s="415">
        <v>44362</v>
      </c>
      <c r="N304" s="299"/>
      <c r="O304" s="299" t="s">
        <v>3810</v>
      </c>
      <c r="P304" s="388">
        <v>1.2E-2</v>
      </c>
      <c r="Q304" s="167" t="s">
        <v>4768</v>
      </c>
      <c r="R304" s="417"/>
      <c r="S304" s="292" t="str">
        <f t="shared" si="32"/>
        <v/>
      </c>
      <c r="T304" s="292" t="s">
        <v>127</v>
      </c>
      <c r="U304" s="292" t="s">
        <v>3854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3793</v>
      </c>
      <c r="B305" s="104" t="s">
        <v>4769</v>
      </c>
      <c r="C305" s="390" t="s">
        <v>4770</v>
      </c>
      <c r="D305" s="299">
        <v>5634110</v>
      </c>
      <c r="E305" s="292" t="s">
        <v>19</v>
      </c>
      <c r="F305" s="292" t="s">
        <v>66</v>
      </c>
      <c r="G305" s="292" t="s">
        <v>316</v>
      </c>
      <c r="H305" s="292" t="str">
        <f>IFERROR(VLOOKUP(G305,'Cadastro de assessores'!A:B,2,FALSE),"Não Cadastrado")</f>
        <v>18009</v>
      </c>
      <c r="I305" s="292"/>
      <c r="J305" s="24" t="s">
        <v>125</v>
      </c>
      <c r="K305" s="292" t="s">
        <v>3802</v>
      </c>
      <c r="L305" s="387">
        <v>44356</v>
      </c>
      <c r="M305" s="387">
        <v>44356</v>
      </c>
      <c r="N305" s="391">
        <v>44714</v>
      </c>
      <c r="O305" s="299" t="s">
        <v>3797</v>
      </c>
      <c r="P305" s="388">
        <v>0.02</v>
      </c>
      <c r="Q305" s="167" t="s">
        <v>4771</v>
      </c>
      <c r="R305" s="417"/>
      <c r="S305" s="292" t="str">
        <f t="shared" si="32"/>
        <v>Não Qualificado</v>
      </c>
      <c r="T305" s="292" t="s">
        <v>127</v>
      </c>
      <c r="U305" s="292" t="s">
        <v>3975</v>
      </c>
      <c r="V305" s="292" t="s">
        <v>66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2940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3793</v>
      </c>
      <c r="B306" s="104" t="s">
        <v>1724</v>
      </c>
      <c r="C306" s="122" t="s">
        <v>1722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3796</v>
      </c>
      <c r="K306" s="293" t="s">
        <v>134</v>
      </c>
      <c r="L306" s="415">
        <v>44000</v>
      </c>
      <c r="M306" s="415">
        <v>44000</v>
      </c>
      <c r="N306" s="292"/>
      <c r="O306" s="292" t="s">
        <v>3803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127</v>
      </c>
      <c r="U306" s="292" t="s">
        <v>3937</v>
      </c>
      <c r="V306" s="292" t="s">
        <v>20</v>
      </c>
      <c r="W306" s="418" t="s">
        <v>3806</v>
      </c>
      <c r="X306" s="418" t="s">
        <v>3806</v>
      </c>
      <c r="Y306" s="418" t="s">
        <v>3806</v>
      </c>
      <c r="Z306" s="418" t="s">
        <v>3806</v>
      </c>
      <c r="AA306" s="418" t="s">
        <v>3806</v>
      </c>
      <c r="AB306" s="418" t="s">
        <v>3806</v>
      </c>
      <c r="AC306" s="418" t="s">
        <v>3806</v>
      </c>
      <c r="AD306" s="418" t="s">
        <v>4772</v>
      </c>
      <c r="AE306" s="418" t="s">
        <v>4773</v>
      </c>
      <c r="AF306" s="418" t="s">
        <v>4774</v>
      </c>
      <c r="AG306" s="418" t="s">
        <v>4775</v>
      </c>
      <c r="AH306" s="418" t="s">
        <v>3806</v>
      </c>
      <c r="AI306" s="418" t="s">
        <v>4776</v>
      </c>
      <c r="AJ306" s="418" t="s">
        <v>4777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3793</v>
      </c>
      <c r="B307" s="104" t="s">
        <v>4778</v>
      </c>
      <c r="C307" s="122" t="s">
        <v>4779</v>
      </c>
      <c r="D307" s="432">
        <v>4990009</v>
      </c>
      <c r="E307" s="292" t="s">
        <v>19</v>
      </c>
      <c r="F307" s="292" t="s">
        <v>66</v>
      </c>
      <c r="G307" s="292" t="s">
        <v>316</v>
      </c>
      <c r="H307" s="292" t="str">
        <f>IFERROR(VLOOKUP(G307,'Cadastro de assessores'!A:B,2,FALSE),"Não Cadastrado")</f>
        <v>18009</v>
      </c>
      <c r="I307" s="292"/>
      <c r="J307" s="24" t="s">
        <v>125</v>
      </c>
      <c r="K307" s="292" t="s">
        <v>3802</v>
      </c>
      <c r="L307" s="387">
        <v>44274</v>
      </c>
      <c r="M307" s="387">
        <v>44274</v>
      </c>
      <c r="N307" s="387">
        <v>44649</v>
      </c>
      <c r="O307" s="292" t="s">
        <v>3803</v>
      </c>
      <c r="P307" s="388">
        <v>1.4999999999999999E-2</v>
      </c>
      <c r="Q307" s="420" t="s">
        <v>4780</v>
      </c>
      <c r="R307" s="417"/>
      <c r="S307" s="292" t="str">
        <f t="shared" si="32"/>
        <v/>
      </c>
      <c r="T307" s="292" t="s">
        <v>127</v>
      </c>
      <c r="U307" s="292" t="s">
        <v>3854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2940</v>
      </c>
      <c r="BE307" s="339" t="s">
        <v>2940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3793</v>
      </c>
      <c r="B308" s="104" t="s">
        <v>4781</v>
      </c>
      <c r="C308" s="122" t="s">
        <v>4782</v>
      </c>
      <c r="D308" s="292">
        <v>4606048</v>
      </c>
      <c r="E308" s="293" t="s">
        <v>46</v>
      </c>
      <c r="F308" s="293" t="s">
        <v>20</v>
      </c>
      <c r="G308" s="293" t="s">
        <v>234</v>
      </c>
      <c r="H308" s="293" t="str">
        <f>IFERROR(VLOOKUP(G308,'Cadastro de assessores'!A:B,2,FALSE),"Não Cadastrado")</f>
        <v>14699</v>
      </c>
      <c r="I308" s="293"/>
      <c r="J308" s="24" t="s">
        <v>134</v>
      </c>
      <c r="K308" s="293" t="s">
        <v>134</v>
      </c>
      <c r="L308" s="416">
        <v>44154</v>
      </c>
      <c r="M308" s="416">
        <v>44160</v>
      </c>
      <c r="N308" s="292"/>
      <c r="O308" s="292" t="s">
        <v>3817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127</v>
      </c>
      <c r="U308" s="292" t="s">
        <v>3999</v>
      </c>
      <c r="V308" s="292" t="s">
        <v>20</v>
      </c>
      <c r="W308" s="418" t="s">
        <v>3806</v>
      </c>
      <c r="X308" s="418" t="s">
        <v>3806</v>
      </c>
      <c r="Y308" s="418" t="s">
        <v>3806</v>
      </c>
      <c r="Z308" s="418" t="s">
        <v>3806</v>
      </c>
      <c r="AA308" s="418" t="s">
        <v>3806</v>
      </c>
      <c r="AB308" s="418" t="s">
        <v>3806</v>
      </c>
      <c r="AC308" s="418" t="s">
        <v>3806</v>
      </c>
      <c r="AD308" s="418" t="s">
        <v>3806</v>
      </c>
      <c r="AE308" s="418" t="s">
        <v>3806</v>
      </c>
      <c r="AF308" s="418" t="s">
        <v>3806</v>
      </c>
      <c r="AG308" s="418" t="s">
        <v>3806</v>
      </c>
      <c r="AH308" s="418"/>
      <c r="AI308" s="418"/>
      <c r="AJ308" s="418" t="s">
        <v>4777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3793</v>
      </c>
      <c r="B309" s="104" t="s">
        <v>1743</v>
      </c>
      <c r="C309" s="86" t="s">
        <v>1741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3796</v>
      </c>
      <c r="K309" s="293" t="s">
        <v>134</v>
      </c>
      <c r="L309" s="415">
        <v>44587</v>
      </c>
      <c r="M309" s="415">
        <v>44594</v>
      </c>
      <c r="N309" s="299"/>
      <c r="O309" s="299" t="s">
        <v>3810</v>
      </c>
      <c r="P309" s="388">
        <v>7.0000000000000001E-3</v>
      </c>
      <c r="Q309" s="167" t="s">
        <v>4783</v>
      </c>
      <c r="R309" s="417"/>
      <c r="S309" s="292" t="str">
        <f t="shared" si="32"/>
        <v/>
      </c>
      <c r="T309" s="292" t="s">
        <v>127</v>
      </c>
      <c r="U309" s="299" t="s">
        <v>3937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3793</v>
      </c>
      <c r="B310" s="104" t="s">
        <v>4784</v>
      </c>
      <c r="C310" s="390" t="s">
        <v>4785</v>
      </c>
      <c r="D310" s="299">
        <v>6549214</v>
      </c>
      <c r="E310" s="292" t="s">
        <v>19</v>
      </c>
      <c r="F310" s="292" t="s">
        <v>66</v>
      </c>
      <c r="G310" s="292" t="s">
        <v>4142</v>
      </c>
      <c r="H310" s="292" t="str">
        <f>IFERROR(VLOOKUP(G310,'Cadastro de assessores'!A:B,2,FALSE),"Não Cadastrado")</f>
        <v>14294</v>
      </c>
      <c r="I310" s="292"/>
      <c r="J310" s="24" t="s">
        <v>125</v>
      </c>
      <c r="K310" s="292" t="s">
        <v>3802</v>
      </c>
      <c r="L310" s="419">
        <v>44487</v>
      </c>
      <c r="M310" s="419">
        <v>44487</v>
      </c>
      <c r="N310" s="391">
        <v>44810</v>
      </c>
      <c r="O310" s="299" t="s">
        <v>3803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127</v>
      </c>
      <c r="U310" s="299" t="s">
        <v>3891</v>
      </c>
      <c r="V310" s="292" t="s">
        <v>3892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3793</v>
      </c>
      <c r="B311" s="104" t="s">
        <v>1762</v>
      </c>
      <c r="C311" s="441" t="s">
        <v>1760</v>
      </c>
      <c r="D311" s="426">
        <v>3025955</v>
      </c>
      <c r="E311" s="293" t="s">
        <v>19</v>
      </c>
      <c r="F311" s="293" t="s">
        <v>66</v>
      </c>
      <c r="G311" s="426" t="s">
        <v>316</v>
      </c>
      <c r="H311" s="293" t="str">
        <f>IFERROR(VLOOKUP(G311,'Cadastro de assessores'!A:B,2,FALSE),"Não Cadastrado")</f>
        <v>18009</v>
      </c>
      <c r="I311" s="293"/>
      <c r="J311" s="24" t="s">
        <v>134</v>
      </c>
      <c r="K311" s="293" t="s">
        <v>134</v>
      </c>
      <c r="L311" s="447">
        <v>44565</v>
      </c>
      <c r="M311" s="447">
        <v>44557</v>
      </c>
      <c r="N311" s="299"/>
      <c r="O311" s="299" t="s">
        <v>4615</v>
      </c>
      <c r="P311" s="388">
        <v>1.4999999999999999E-2</v>
      </c>
      <c r="Q311" s="167" t="s">
        <v>4084</v>
      </c>
      <c r="R311" s="417"/>
      <c r="S311" s="292" t="str">
        <f t="shared" si="32"/>
        <v>Não Qualificado</v>
      </c>
      <c r="T311" s="292" t="s">
        <v>127</v>
      </c>
      <c r="U311" s="292" t="s">
        <v>3975</v>
      </c>
      <c r="V311" s="292" t="s">
        <v>66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3793</v>
      </c>
      <c r="B312" s="104" t="s">
        <v>1774</v>
      </c>
      <c r="C312" s="86" t="s">
        <v>1772</v>
      </c>
      <c r="D312" s="299">
        <v>7443645</v>
      </c>
      <c r="E312" s="293" t="s">
        <v>19</v>
      </c>
      <c r="F312" s="293" t="s">
        <v>20</v>
      </c>
      <c r="G312" s="426" t="s">
        <v>935</v>
      </c>
      <c r="H312" s="293">
        <f>IFERROR(VLOOKUP(G312,'Cadastro de assessores'!A:B,2,FALSE),"Não Cadastrado")</f>
        <v>12342</v>
      </c>
      <c r="I312" s="293"/>
      <c r="J312" s="24" t="s">
        <v>3796</v>
      </c>
      <c r="K312" s="292" t="s">
        <v>3154</v>
      </c>
      <c r="L312" s="292" t="s">
        <v>3154</v>
      </c>
      <c r="M312" s="436" t="s">
        <v>3644</v>
      </c>
      <c r="N312" s="426"/>
      <c r="O312" s="426" t="s">
        <v>3810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127</v>
      </c>
      <c r="U312" s="292" t="s">
        <v>3805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2940</v>
      </c>
      <c r="BE312" s="339" t="s">
        <v>2940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3793</v>
      </c>
      <c r="B313" s="104" t="s">
        <v>1774</v>
      </c>
      <c r="C313" s="86" t="s">
        <v>1772</v>
      </c>
      <c r="D313" s="299">
        <v>6582735</v>
      </c>
      <c r="E313" s="293" t="s">
        <v>19</v>
      </c>
      <c r="F313" s="293" t="s">
        <v>20</v>
      </c>
      <c r="G313" s="426" t="s">
        <v>935</v>
      </c>
      <c r="H313" s="293">
        <f>IFERROR(VLOOKUP(G313,'Cadastro de assessores'!A:B,2,FALSE),"Não Cadastrado")</f>
        <v>12342</v>
      </c>
      <c r="I313" s="293"/>
      <c r="J313" s="24" t="s">
        <v>134</v>
      </c>
      <c r="K313" s="293" t="s">
        <v>134</v>
      </c>
      <c r="L313" s="391">
        <v>44579</v>
      </c>
      <c r="M313" s="391">
        <v>44579</v>
      </c>
      <c r="N313" s="426"/>
      <c r="O313" s="426" t="s">
        <v>3810</v>
      </c>
      <c r="P313" s="449">
        <v>7.0000000000000001E-3</v>
      </c>
      <c r="Q313" s="167" t="s">
        <v>4786</v>
      </c>
      <c r="R313" s="417"/>
      <c r="S313" s="292" t="str">
        <f t="shared" si="32"/>
        <v>Não Qualificado</v>
      </c>
      <c r="T313" s="292" t="s">
        <v>127</v>
      </c>
      <c r="U313" s="292" t="s">
        <v>3805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3793</v>
      </c>
      <c r="B314" s="104" t="s">
        <v>1778</v>
      </c>
      <c r="C314" s="390" t="s">
        <v>4787</v>
      </c>
      <c r="D314" s="446">
        <v>9215559</v>
      </c>
      <c r="E314" s="292" t="s">
        <v>19</v>
      </c>
      <c r="F314" s="292" t="s">
        <v>66</v>
      </c>
      <c r="G314" s="292" t="s">
        <v>67</v>
      </c>
      <c r="H314" s="293" t="str">
        <f>IFERROR(VLOOKUP(G314,'Cadastro de assessores'!A:B,2,FALSE),"Não Cadastrado")</f>
        <v>18890</v>
      </c>
      <c r="I314" s="292"/>
      <c r="J314" s="24" t="s">
        <v>3796</v>
      </c>
      <c r="K314" s="292"/>
      <c r="L314" s="391"/>
      <c r="M314" s="391"/>
      <c r="N314" s="391"/>
      <c r="O314" s="299" t="s">
        <v>3817</v>
      </c>
      <c r="P314" s="388">
        <v>2.5000000000000001E-2</v>
      </c>
      <c r="Q314" s="420" t="s">
        <v>3916</v>
      </c>
      <c r="R314" s="417"/>
      <c r="S314" s="292"/>
      <c r="T314" s="292"/>
      <c r="U314" s="292"/>
      <c r="V314" s="292" t="s">
        <v>66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3793</v>
      </c>
      <c r="B315" s="104" t="s">
        <v>4788</v>
      </c>
      <c r="C315" s="390" t="s">
        <v>4789</v>
      </c>
      <c r="D315" s="299">
        <v>5752123</v>
      </c>
      <c r="E315" s="292" t="s">
        <v>19</v>
      </c>
      <c r="F315" s="292" t="s">
        <v>20</v>
      </c>
      <c r="G315" s="292" t="s">
        <v>3801</v>
      </c>
      <c r="H315" s="292" t="str">
        <f>IFERROR(VLOOKUP(G315,'Cadastro de assessores'!A:B,2,FALSE),"Não Cadastrado")</f>
        <v>17679</v>
      </c>
      <c r="I315" s="292"/>
      <c r="J315" s="24" t="s">
        <v>125</v>
      </c>
      <c r="K315" s="292" t="s">
        <v>3802</v>
      </c>
      <c r="L315" s="391">
        <v>44384</v>
      </c>
      <c r="M315" s="391">
        <v>44384</v>
      </c>
      <c r="N315" s="391">
        <v>44455</v>
      </c>
      <c r="O315" s="299" t="s">
        <v>3810</v>
      </c>
      <c r="P315" s="388">
        <v>7.0000000000000001E-3</v>
      </c>
      <c r="Q315" s="420" t="s">
        <v>4790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127</v>
      </c>
      <c r="U315" s="292" t="s">
        <v>4231</v>
      </c>
      <c r="V315" s="292" t="s">
        <v>3653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2940</v>
      </c>
      <c r="BE315" s="339" t="s">
        <v>2940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3793</v>
      </c>
      <c r="B316" s="104" t="s">
        <v>4791</v>
      </c>
      <c r="C316" s="122" t="s">
        <v>4792</v>
      </c>
      <c r="D316" s="292">
        <v>4636125</v>
      </c>
      <c r="E316" s="293" t="s">
        <v>19</v>
      </c>
      <c r="F316" s="293" t="s">
        <v>20</v>
      </c>
      <c r="G316" s="293" t="s">
        <v>360</v>
      </c>
      <c r="H316" s="293">
        <f>IFERROR(VLOOKUP(G316,'Cadastro de assessores'!A:B,2,FALSE),"Não Cadastrado")</f>
        <v>12359</v>
      </c>
      <c r="I316" s="293"/>
      <c r="J316" s="24" t="s">
        <v>3796</v>
      </c>
      <c r="K316" s="293" t="s">
        <v>134</v>
      </c>
      <c r="L316" s="415">
        <v>44215</v>
      </c>
      <c r="M316" s="415">
        <v>44215</v>
      </c>
      <c r="N316" s="299"/>
      <c r="O316" s="299" t="s">
        <v>3797</v>
      </c>
      <c r="P316" s="388">
        <v>0.02</v>
      </c>
      <c r="Q316" s="420" t="s">
        <v>3908</v>
      </c>
      <c r="R316" s="417"/>
      <c r="S316" s="292" t="str">
        <f t="shared" si="33"/>
        <v>Não Qualificado</v>
      </c>
      <c r="T316" s="292" t="s">
        <v>127</v>
      </c>
      <c r="U316" s="292" t="s">
        <v>3840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3806</v>
      </c>
      <c r="AI316" s="418" t="s">
        <v>3806</v>
      </c>
      <c r="AJ316" s="418" t="s">
        <v>4793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3793</v>
      </c>
      <c r="B317" s="104" t="s">
        <v>1806</v>
      </c>
      <c r="C317" s="122" t="s">
        <v>1803</v>
      </c>
      <c r="D317" s="292">
        <v>9098658</v>
      </c>
      <c r="E317" s="293" t="s">
        <v>19</v>
      </c>
      <c r="F317" s="293" t="s">
        <v>66</v>
      </c>
      <c r="G317" s="293" t="s">
        <v>144</v>
      </c>
      <c r="H317" s="293">
        <f>IFERROR(VLOOKUP(G317,'Cadastro de assessores'!A:B,2,FALSE),"Não Cadastrado")</f>
        <v>12331</v>
      </c>
      <c r="I317" s="293"/>
      <c r="J317" s="24" t="s">
        <v>3796</v>
      </c>
      <c r="K317" s="293" t="s">
        <v>134</v>
      </c>
      <c r="L317" s="416">
        <v>44795</v>
      </c>
      <c r="M317" s="416">
        <v>44795</v>
      </c>
      <c r="N317" s="292"/>
      <c r="O317" s="292" t="s">
        <v>3810</v>
      </c>
      <c r="P317" s="388">
        <v>7.0000000000000001E-3</v>
      </c>
      <c r="Q317" s="420" t="s">
        <v>4794</v>
      </c>
      <c r="R317" s="417"/>
      <c r="S317" s="292"/>
      <c r="T317" s="292" t="s">
        <v>127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3793</v>
      </c>
      <c r="B318" s="104" t="s">
        <v>3314</v>
      </c>
      <c r="C318" s="122" t="s">
        <v>3313</v>
      </c>
      <c r="D318" s="292">
        <v>4588112</v>
      </c>
      <c r="E318" s="293" t="s">
        <v>19</v>
      </c>
      <c r="F318" s="293" t="s">
        <v>20</v>
      </c>
      <c r="G318" s="293" t="s">
        <v>2963</v>
      </c>
      <c r="H318" s="293" t="str">
        <f>IFERROR(VLOOKUP(G318,'Cadastro de assessores'!A:B,2,FALSE),"Não Cadastrado")</f>
        <v>18836</v>
      </c>
      <c r="I318" s="293"/>
      <c r="J318" s="24" t="s">
        <v>134</v>
      </c>
      <c r="K318" s="293" t="s">
        <v>134</v>
      </c>
      <c r="L318" s="416">
        <v>44144</v>
      </c>
      <c r="M318" s="416">
        <v>44148</v>
      </c>
      <c r="N318" s="292"/>
      <c r="O318" s="292" t="s">
        <v>3813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127</v>
      </c>
      <c r="U318" s="292" t="s">
        <v>4057</v>
      </c>
      <c r="V318" s="292" t="s">
        <v>878</v>
      </c>
      <c r="W318" s="418" t="s">
        <v>3806</v>
      </c>
      <c r="X318" s="418" t="s">
        <v>3806</v>
      </c>
      <c r="Y318" s="418" t="s">
        <v>3806</v>
      </c>
      <c r="Z318" s="418" t="s">
        <v>3806</v>
      </c>
      <c r="AA318" s="418" t="s">
        <v>3806</v>
      </c>
      <c r="AB318" s="418" t="s">
        <v>3806</v>
      </c>
      <c r="AC318" s="418" t="s">
        <v>3806</v>
      </c>
      <c r="AD318" s="418" t="s">
        <v>3806</v>
      </c>
      <c r="AE318" s="418" t="s">
        <v>3806</v>
      </c>
      <c r="AF318" s="418" t="s">
        <v>3806</v>
      </c>
      <c r="AG318" s="418" t="s">
        <v>3806</v>
      </c>
      <c r="AH318" s="418"/>
      <c r="AI318" s="418"/>
      <c r="AJ318" s="418" t="s">
        <v>4793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3793</v>
      </c>
      <c r="B319" s="104" t="s">
        <v>4795</v>
      </c>
      <c r="C319" s="390" t="s">
        <v>4796</v>
      </c>
      <c r="D319" s="422">
        <v>7046512</v>
      </c>
      <c r="E319" s="293" t="s">
        <v>46</v>
      </c>
      <c r="F319" s="293" t="s">
        <v>20</v>
      </c>
      <c r="G319" s="293" t="s">
        <v>3870</v>
      </c>
      <c r="H319" s="293" t="str">
        <f>IFERROR(VLOOKUP(G319,'Cadastro de assessores'!A:B,2,FALSE),"Não Cadastrado")</f>
        <v>1298</v>
      </c>
      <c r="I319" s="293"/>
      <c r="J319" s="24" t="s">
        <v>125</v>
      </c>
      <c r="K319" s="293" t="s">
        <v>134</v>
      </c>
      <c r="L319" s="415">
        <v>44673</v>
      </c>
      <c r="M319" s="415">
        <v>44673</v>
      </c>
      <c r="N319" s="429">
        <v>44994</v>
      </c>
      <c r="O319" s="426" t="s">
        <v>3813</v>
      </c>
      <c r="P319" s="388">
        <v>1.2E-2</v>
      </c>
      <c r="Q319" s="167" t="s">
        <v>4797</v>
      </c>
      <c r="R319" s="417"/>
      <c r="S319" s="292" t="str">
        <f t="shared" si="34"/>
        <v>Não Qualificado</v>
      </c>
      <c r="T319" s="299" t="s">
        <v>171</v>
      </c>
      <c r="U319" s="299" t="s">
        <v>4798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3793</v>
      </c>
      <c r="B320" s="104" t="s">
        <v>1842</v>
      </c>
      <c r="C320" s="122" t="s">
        <v>4799</v>
      </c>
      <c r="D320" s="292">
        <v>4616618</v>
      </c>
      <c r="E320" s="293" t="s">
        <v>46</v>
      </c>
      <c r="F320" s="293" t="s">
        <v>20</v>
      </c>
      <c r="G320" s="293" t="s">
        <v>4459</v>
      </c>
      <c r="H320" s="293" t="str">
        <f>IFERROR(VLOOKUP(G320,'Cadastro de assessores'!A:B,2,FALSE),"Não Cadastrado")</f>
        <v>14091</v>
      </c>
      <c r="I320" s="293"/>
      <c r="J320" s="24" t="s">
        <v>3796</v>
      </c>
      <c r="K320" s="293" t="s">
        <v>134</v>
      </c>
      <c r="L320" s="416">
        <v>44154</v>
      </c>
      <c r="M320" s="416">
        <v>44159</v>
      </c>
      <c r="N320" s="292"/>
      <c r="O320" s="292" t="s">
        <v>3813</v>
      </c>
      <c r="P320" s="388">
        <v>1.2E-2</v>
      </c>
      <c r="Q320" s="420" t="s">
        <v>4800</v>
      </c>
      <c r="R320" s="417"/>
      <c r="S320" s="292" t="str">
        <f t="shared" si="34"/>
        <v>Não Qualificado</v>
      </c>
      <c r="T320" s="292" t="s">
        <v>127</v>
      </c>
      <c r="U320" s="292" t="s">
        <v>3840</v>
      </c>
      <c r="V320" s="292" t="s">
        <v>20</v>
      </c>
      <c r="W320" s="418" t="s">
        <v>3806</v>
      </c>
      <c r="X320" s="418" t="s">
        <v>3806</v>
      </c>
      <c r="Y320" s="418" t="s">
        <v>3806</v>
      </c>
      <c r="Z320" s="418" t="s">
        <v>3806</v>
      </c>
      <c r="AA320" s="418" t="s">
        <v>3806</v>
      </c>
      <c r="AB320" s="418" t="s">
        <v>3806</v>
      </c>
      <c r="AC320" s="418" t="s">
        <v>3806</v>
      </c>
      <c r="AD320" s="418" t="s">
        <v>3806</v>
      </c>
      <c r="AE320" s="418" t="s">
        <v>3806</v>
      </c>
      <c r="AF320" s="418" t="s">
        <v>3806</v>
      </c>
      <c r="AG320" s="418" t="s">
        <v>3806</v>
      </c>
      <c r="AH320" s="418" t="s">
        <v>3806</v>
      </c>
      <c r="AI320" s="418" t="s">
        <v>3806</v>
      </c>
      <c r="AJ320" s="418" t="s">
        <v>4801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3793</v>
      </c>
      <c r="B321" s="104" t="s">
        <v>1842</v>
      </c>
      <c r="C321" s="122" t="s">
        <v>4799</v>
      </c>
      <c r="D321" s="292">
        <v>4859015</v>
      </c>
      <c r="E321" s="293" t="s">
        <v>46</v>
      </c>
      <c r="F321" s="293" t="s">
        <v>20</v>
      </c>
      <c r="G321" s="293" t="s">
        <v>4459</v>
      </c>
      <c r="H321" s="293" t="str">
        <f>IFERROR(VLOOKUP(G321,'Cadastro de assessores'!A:B,2,FALSE),"Não Cadastrado")</f>
        <v>14091</v>
      </c>
      <c r="I321" s="293"/>
      <c r="J321" s="24" t="s">
        <v>3796</v>
      </c>
      <c r="K321" s="293" t="s">
        <v>134</v>
      </c>
      <c r="L321" s="415">
        <v>44239</v>
      </c>
      <c r="M321" s="415">
        <v>44239</v>
      </c>
      <c r="N321" s="299"/>
      <c r="O321" s="299" t="s">
        <v>3850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127</v>
      </c>
      <c r="U321" s="292" t="s">
        <v>3840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3793</v>
      </c>
      <c r="B322" s="104" t="s">
        <v>4802</v>
      </c>
      <c r="C322" s="390" t="s">
        <v>4803</v>
      </c>
      <c r="D322" s="299">
        <v>5666607</v>
      </c>
      <c r="E322" s="299" t="s">
        <v>19</v>
      </c>
      <c r="F322" s="299" t="s">
        <v>66</v>
      </c>
      <c r="G322" s="299" t="s">
        <v>4804</v>
      </c>
      <c r="H322" s="299" t="str">
        <f>IFERROR(VLOOKUP(G322,'Cadastro de assessores'!A:B,2,FALSE),"Não Cadastrado")</f>
        <v>1275</v>
      </c>
      <c r="I322" s="299"/>
      <c r="J322" s="24" t="s">
        <v>125</v>
      </c>
      <c r="K322" s="292" t="s">
        <v>3802</v>
      </c>
      <c r="L322" s="391">
        <v>44376</v>
      </c>
      <c r="M322" s="391">
        <v>44376</v>
      </c>
      <c r="N322" s="391">
        <v>44775</v>
      </c>
      <c r="O322" s="299" t="s">
        <v>3817</v>
      </c>
      <c r="P322" s="392">
        <v>2.5000000000000001E-2</v>
      </c>
      <c r="Q322" s="167" t="s">
        <v>4805</v>
      </c>
      <c r="R322" s="417"/>
      <c r="S322" s="292" t="str">
        <f t="shared" si="34"/>
        <v>Não Qualificado</v>
      </c>
      <c r="T322" s="292" t="s">
        <v>127</v>
      </c>
      <c r="U322" s="299" t="s">
        <v>3891</v>
      </c>
      <c r="V322" s="292" t="s">
        <v>3892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3793</v>
      </c>
      <c r="B323" s="104" t="s">
        <v>4806</v>
      </c>
      <c r="C323" s="441" t="s">
        <v>4807</v>
      </c>
      <c r="D323" s="422">
        <v>5914962</v>
      </c>
      <c r="E323" s="293" t="s">
        <v>19</v>
      </c>
      <c r="F323" s="293" t="s">
        <v>66</v>
      </c>
      <c r="G323" s="293" t="s">
        <v>4142</v>
      </c>
      <c r="H323" s="293" t="str">
        <f>IFERROR(VLOOKUP(G323,'Cadastro de assessores'!A:B,2,FALSE),"Não Cadastrado")</f>
        <v>14294</v>
      </c>
      <c r="I323" s="293"/>
      <c r="J323" s="24" t="s">
        <v>125</v>
      </c>
      <c r="K323" s="293" t="s">
        <v>134</v>
      </c>
      <c r="L323" s="415">
        <v>44454</v>
      </c>
      <c r="M323" s="415">
        <v>44461</v>
      </c>
      <c r="N323" s="391">
        <v>44830</v>
      </c>
      <c r="O323" s="292" t="s">
        <v>3810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127</v>
      </c>
      <c r="U323" s="299" t="s">
        <v>4506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3793</v>
      </c>
      <c r="B324" s="104" t="s">
        <v>1852</v>
      </c>
      <c r="C324" s="441" t="s">
        <v>1850</v>
      </c>
      <c r="D324" s="422">
        <v>5958737</v>
      </c>
      <c r="E324" s="293" t="s">
        <v>19</v>
      </c>
      <c r="F324" s="293" t="s">
        <v>66</v>
      </c>
      <c r="G324" s="293" t="s">
        <v>144</v>
      </c>
      <c r="H324" s="293">
        <f>IFERROR(VLOOKUP(G324,'Cadastro de assessores'!A:B,2,FALSE),"Não Cadastrado")</f>
        <v>12331</v>
      </c>
      <c r="I324" s="293"/>
      <c r="J324" s="24" t="s">
        <v>3796</v>
      </c>
      <c r="K324" s="293" t="s">
        <v>134</v>
      </c>
      <c r="L324" s="423">
        <v>44596</v>
      </c>
      <c r="M324" s="423">
        <v>44614</v>
      </c>
      <c r="N324" s="292"/>
      <c r="O324" s="292" t="s">
        <v>3810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127</v>
      </c>
      <c r="U324" s="299" t="s">
        <v>4808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3793</v>
      </c>
      <c r="B325" s="104" t="s">
        <v>4809</v>
      </c>
      <c r="C325" s="122" t="s">
        <v>4810</v>
      </c>
      <c r="D325" s="299">
        <v>4712860</v>
      </c>
      <c r="E325" s="292" t="s">
        <v>46</v>
      </c>
      <c r="F325" s="292" t="s">
        <v>20</v>
      </c>
      <c r="G325" s="292" t="s">
        <v>4075</v>
      </c>
      <c r="H325" s="292" t="str">
        <f>IFERROR(VLOOKUP(G325,'Cadastro de assessores'!A:B,2,FALSE),"Não Cadastrado")</f>
        <v>15049</v>
      </c>
      <c r="I325" s="292"/>
      <c r="J325" s="24" t="s">
        <v>125</v>
      </c>
      <c r="K325" s="292" t="s">
        <v>3802</v>
      </c>
      <c r="L325" s="387">
        <v>44203</v>
      </c>
      <c r="M325" s="387">
        <v>44203</v>
      </c>
      <c r="N325" s="387">
        <v>44418</v>
      </c>
      <c r="O325" s="292" t="s">
        <v>3803</v>
      </c>
      <c r="P325" s="388">
        <v>1.4999999999999999E-2</v>
      </c>
      <c r="Q325" s="420" t="s">
        <v>4031</v>
      </c>
      <c r="R325" s="417"/>
      <c r="S325" s="292" t="str">
        <f t="shared" si="34"/>
        <v>Não Qualificado</v>
      </c>
      <c r="T325" s="292" t="s">
        <v>127</v>
      </c>
      <c r="U325" s="292" t="s">
        <v>3937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2940</v>
      </c>
      <c r="BE325" s="339" t="s">
        <v>2940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3793</v>
      </c>
      <c r="B326" s="104" t="s">
        <v>4811</v>
      </c>
      <c r="C326" s="122" t="s">
        <v>4812</v>
      </c>
      <c r="D326" s="292">
        <v>2201017</v>
      </c>
      <c r="E326" s="293" t="s">
        <v>46</v>
      </c>
      <c r="F326" s="293" t="s">
        <v>20</v>
      </c>
      <c r="G326" s="293" t="s">
        <v>3855</v>
      </c>
      <c r="H326" s="293"/>
      <c r="I326" s="293"/>
      <c r="J326" s="24" t="s">
        <v>3796</v>
      </c>
      <c r="K326" s="293"/>
      <c r="L326" s="415"/>
      <c r="M326" s="415">
        <v>44893</v>
      </c>
      <c r="N326" s="292"/>
      <c r="O326" s="292" t="s">
        <v>3810</v>
      </c>
      <c r="P326" s="388">
        <v>0.01</v>
      </c>
      <c r="Q326" s="420" t="s">
        <v>4813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3793</v>
      </c>
      <c r="B327" s="104" t="s">
        <v>4814</v>
      </c>
      <c r="C327" s="390" t="s">
        <v>4815</v>
      </c>
      <c r="D327" s="299">
        <v>5661723</v>
      </c>
      <c r="E327" s="293" t="s">
        <v>2931</v>
      </c>
      <c r="F327" s="293" t="s">
        <v>20</v>
      </c>
      <c r="G327" s="293" t="s">
        <v>2931</v>
      </c>
      <c r="H327" s="293" t="str">
        <f>IFERROR(VLOOKUP(G327,'Cadastro de assessores'!A:B,2,FALSE),"Não Cadastrado")</f>
        <v>18986</v>
      </c>
      <c r="I327" s="293"/>
      <c r="J327" s="24" t="s">
        <v>3796</v>
      </c>
      <c r="K327" s="292" t="s">
        <v>134</v>
      </c>
      <c r="L327" s="415">
        <v>44369</v>
      </c>
      <c r="M327" s="415">
        <v>44369</v>
      </c>
      <c r="N327" s="292"/>
      <c r="O327" s="292" t="s">
        <v>3803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127</v>
      </c>
      <c r="U327" s="299" t="s">
        <v>3857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3793</v>
      </c>
      <c r="B328" s="104" t="s">
        <v>3351</v>
      </c>
      <c r="C328" s="122" t="s">
        <v>3350</v>
      </c>
      <c r="D328" s="292">
        <v>4600625</v>
      </c>
      <c r="E328" s="293" t="s">
        <v>19</v>
      </c>
      <c r="F328" s="293" t="s">
        <v>20</v>
      </c>
      <c r="G328" s="293" t="s">
        <v>2518</v>
      </c>
      <c r="H328" s="293" t="str">
        <f>IFERROR(VLOOKUP(G328,'Cadastro de assessores'!A:B,2,FALSE),"Não Cadastrado")</f>
        <v>18256</v>
      </c>
      <c r="I328" s="293"/>
      <c r="J328" s="24" t="s">
        <v>3796</v>
      </c>
      <c r="K328" s="293" t="s">
        <v>134</v>
      </c>
      <c r="L328" s="416">
        <v>44180</v>
      </c>
      <c r="M328" s="416">
        <v>44180</v>
      </c>
      <c r="N328" s="292"/>
      <c r="O328" s="292" t="s">
        <v>3817</v>
      </c>
      <c r="P328" s="388">
        <v>2.5000000000000001E-2</v>
      </c>
      <c r="Q328" s="420" t="s">
        <v>4816</v>
      </c>
      <c r="R328" s="417"/>
      <c r="S328" s="292" t="str">
        <f t="shared" si="35"/>
        <v>Não Qualificado</v>
      </c>
      <c r="T328" s="292" t="s">
        <v>127</v>
      </c>
      <c r="U328" s="292" t="s">
        <v>3840</v>
      </c>
      <c r="V328" s="292" t="s">
        <v>20</v>
      </c>
      <c r="W328" s="418" t="s">
        <v>3806</v>
      </c>
      <c r="X328" s="418" t="s">
        <v>3806</v>
      </c>
      <c r="Y328" s="418" t="s">
        <v>3806</v>
      </c>
      <c r="Z328" s="418" t="s">
        <v>3806</v>
      </c>
      <c r="AA328" s="418" t="s">
        <v>3806</v>
      </c>
      <c r="AB328" s="418" t="s">
        <v>3806</v>
      </c>
      <c r="AC328" s="418" t="s">
        <v>3806</v>
      </c>
      <c r="AD328" s="418" t="s">
        <v>3806</v>
      </c>
      <c r="AE328" s="418" t="s">
        <v>3806</v>
      </c>
      <c r="AF328" s="418" t="s">
        <v>3806</v>
      </c>
      <c r="AG328" s="418" t="s">
        <v>3806</v>
      </c>
      <c r="AH328" s="418" t="s">
        <v>3806</v>
      </c>
      <c r="AI328" s="418" t="s">
        <v>3806</v>
      </c>
      <c r="AJ328" s="418" t="s">
        <v>3806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3793</v>
      </c>
      <c r="B329" s="104" t="s">
        <v>4817</v>
      </c>
      <c r="C329" s="390" t="s">
        <v>4818</v>
      </c>
      <c r="D329" s="299">
        <v>5630594</v>
      </c>
      <c r="E329" s="293" t="s">
        <v>19</v>
      </c>
      <c r="F329" s="293" t="s">
        <v>20</v>
      </c>
      <c r="G329" s="293" t="s">
        <v>4323</v>
      </c>
      <c r="H329" s="293" t="str">
        <f>IFERROR(VLOOKUP(G329,'Cadastro de assessores'!A:B,2,FALSE),"Não Cadastrado")</f>
        <v>13896</v>
      </c>
      <c r="I329" s="293"/>
      <c r="J329" s="24" t="s">
        <v>3796</v>
      </c>
      <c r="K329" s="293" t="s">
        <v>134</v>
      </c>
      <c r="L329" s="415">
        <v>44356</v>
      </c>
      <c r="M329" s="415">
        <v>44356</v>
      </c>
      <c r="N329" s="299"/>
      <c r="O329" s="299" t="s">
        <v>4018</v>
      </c>
      <c r="P329" s="388">
        <v>0.02</v>
      </c>
      <c r="Q329" s="167"/>
      <c r="R329" s="417"/>
      <c r="S329" s="292" t="str">
        <f t="shared" si="35"/>
        <v/>
      </c>
      <c r="T329" s="292" t="s">
        <v>127</v>
      </c>
      <c r="U329" s="292" t="s">
        <v>3854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3793</v>
      </c>
      <c r="B330" s="104" t="s">
        <v>4819</v>
      </c>
      <c r="C330" s="122" t="s">
        <v>4820</v>
      </c>
      <c r="D330" s="292">
        <v>4680045</v>
      </c>
      <c r="E330" s="462" t="s">
        <v>46</v>
      </c>
      <c r="F330" s="293" t="s">
        <v>20</v>
      </c>
      <c r="G330" s="293" t="s">
        <v>4075</v>
      </c>
      <c r="H330" s="293" t="str">
        <f>IFERROR(VLOOKUP(G330,'Cadastro de assessores'!A:B,2,FALSE),"Não Cadastrado")</f>
        <v>15049</v>
      </c>
      <c r="I330" s="293"/>
      <c r="J330" s="24" t="s">
        <v>3796</v>
      </c>
      <c r="K330" s="292" t="s">
        <v>145</v>
      </c>
      <c r="L330" s="416">
        <v>44182</v>
      </c>
      <c r="M330" s="416">
        <v>44183</v>
      </c>
      <c r="N330" s="292"/>
      <c r="O330" s="292" t="s">
        <v>3803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127</v>
      </c>
      <c r="U330" s="292" t="s">
        <v>3937</v>
      </c>
      <c r="V330" s="292" t="s">
        <v>20</v>
      </c>
      <c r="W330" s="418" t="s">
        <v>3806</v>
      </c>
      <c r="X330" s="418" t="s">
        <v>3806</v>
      </c>
      <c r="Y330" s="418" t="s">
        <v>3806</v>
      </c>
      <c r="Z330" s="418" t="s">
        <v>3806</v>
      </c>
      <c r="AA330" s="418" t="s">
        <v>3806</v>
      </c>
      <c r="AB330" s="418" t="s">
        <v>3806</v>
      </c>
      <c r="AC330" s="418" t="s">
        <v>3806</v>
      </c>
      <c r="AD330" s="418" t="s">
        <v>3806</v>
      </c>
      <c r="AE330" s="418" t="s">
        <v>3806</v>
      </c>
      <c r="AF330" s="418" t="s">
        <v>3806</v>
      </c>
      <c r="AG330" s="418" t="s">
        <v>3806</v>
      </c>
      <c r="AH330" s="418" t="s">
        <v>3806</v>
      </c>
      <c r="AI330" s="418" t="s">
        <v>3806</v>
      </c>
      <c r="AJ330" s="418" t="s">
        <v>3806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3793</v>
      </c>
      <c r="B331" s="104" t="s">
        <v>4821</v>
      </c>
      <c r="C331" s="441" t="s">
        <v>4822</v>
      </c>
      <c r="D331" s="292">
        <v>7854925</v>
      </c>
      <c r="E331" s="426" t="s">
        <v>19</v>
      </c>
      <c r="F331" s="426" t="s">
        <v>66</v>
      </c>
      <c r="G331" s="293" t="s">
        <v>265</v>
      </c>
      <c r="H331" s="293" t="str">
        <f>IFERROR(VLOOKUP(G331,'Cadastro de assessores'!A:B,2,FALSE),"Não Cadastrado")</f>
        <v>17831</v>
      </c>
      <c r="I331" s="293"/>
      <c r="J331" s="24" t="s">
        <v>3796</v>
      </c>
      <c r="K331" s="293" t="s">
        <v>134</v>
      </c>
      <c r="L331" s="415">
        <v>44602</v>
      </c>
      <c r="M331" s="415">
        <v>44606</v>
      </c>
      <c r="N331" s="292"/>
      <c r="O331" s="292" t="s">
        <v>4823</v>
      </c>
      <c r="P331" s="388">
        <v>1.2E-2</v>
      </c>
      <c r="Q331" s="390" t="s">
        <v>4824</v>
      </c>
      <c r="R331" s="417"/>
      <c r="S331" s="292" t="str">
        <f t="shared" si="35"/>
        <v/>
      </c>
      <c r="T331" s="292" t="s">
        <v>127</v>
      </c>
      <c r="U331" s="292" t="s">
        <v>3849</v>
      </c>
      <c r="V331" s="292" t="s">
        <v>66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3793</v>
      </c>
      <c r="B332" s="104" t="s">
        <v>4825</v>
      </c>
      <c r="C332" s="122" t="s">
        <v>4826</v>
      </c>
      <c r="D332" s="292">
        <v>4901933</v>
      </c>
      <c r="E332" s="292" t="s">
        <v>19</v>
      </c>
      <c r="F332" s="292" t="s">
        <v>66</v>
      </c>
      <c r="G332" s="292" t="s">
        <v>316</v>
      </c>
      <c r="H332" s="292" t="str">
        <f>IFERROR(VLOOKUP(G332,'Cadastro de assessores'!A:B,2,FALSE),"Não Cadastrado")</f>
        <v>18009</v>
      </c>
      <c r="I332" s="292"/>
      <c r="J332" s="24" t="s">
        <v>125</v>
      </c>
      <c r="K332" s="292" t="s">
        <v>3802</v>
      </c>
      <c r="L332" s="387">
        <v>44251</v>
      </c>
      <c r="M332" s="387">
        <v>44251</v>
      </c>
      <c r="N332" s="387">
        <v>44783</v>
      </c>
      <c r="O332" s="292" t="s">
        <v>3803</v>
      </c>
      <c r="P332" s="388">
        <v>1.4999999999999999E-2</v>
      </c>
      <c r="Q332" s="420" t="s">
        <v>4827</v>
      </c>
      <c r="R332" s="417"/>
      <c r="S332" s="292" t="str">
        <f t="shared" si="35"/>
        <v>Não Qualificado</v>
      </c>
      <c r="T332" s="292" t="s">
        <v>127</v>
      </c>
      <c r="U332" s="292" t="s">
        <v>4301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3793</v>
      </c>
      <c r="B333" s="104" t="s">
        <v>1868</v>
      </c>
      <c r="C333" s="390" t="s">
        <v>1865</v>
      </c>
      <c r="D333" s="299">
        <v>581733</v>
      </c>
      <c r="E333" s="293" t="s">
        <v>19</v>
      </c>
      <c r="F333" s="293" t="s">
        <v>20</v>
      </c>
      <c r="G333" s="293" t="s">
        <v>791</v>
      </c>
      <c r="H333" s="293" t="str">
        <f>IFERROR(VLOOKUP(G333,'Cadastro de assessores'!A:B,2,FALSE),"Não Cadastrado")</f>
        <v>18467</v>
      </c>
      <c r="I333" s="293"/>
      <c r="J333" s="24" t="s">
        <v>3796</v>
      </c>
      <c r="K333" s="293" t="s">
        <v>134</v>
      </c>
      <c r="L333" s="415">
        <v>44452</v>
      </c>
      <c r="M333" s="415">
        <v>44453</v>
      </c>
      <c r="N333" s="299"/>
      <c r="O333" s="299" t="s">
        <v>3817</v>
      </c>
      <c r="P333" s="388">
        <v>1.4999999999999999E-2</v>
      </c>
      <c r="Q333" s="167" t="s">
        <v>4828</v>
      </c>
      <c r="R333" s="417"/>
      <c r="S333" s="292" t="str">
        <f t="shared" si="35"/>
        <v>Não Qualificado</v>
      </c>
      <c r="T333" s="292" t="s">
        <v>127</v>
      </c>
      <c r="U333" s="299" t="s">
        <v>3824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3793</v>
      </c>
      <c r="B334" s="104" t="s">
        <v>1868</v>
      </c>
      <c r="C334" s="390" t="s">
        <v>1865</v>
      </c>
      <c r="D334" s="422">
        <v>8089465</v>
      </c>
      <c r="E334" s="469" t="s">
        <v>19</v>
      </c>
      <c r="F334" s="293" t="s">
        <v>20</v>
      </c>
      <c r="G334" s="293" t="s">
        <v>791</v>
      </c>
      <c r="H334" s="293" t="str">
        <f>IFERROR(VLOOKUP(G334,'Cadastro de assessores'!A:B,2,FALSE),"Não Cadastrado")</f>
        <v>18467</v>
      </c>
      <c r="I334" s="293"/>
      <c r="J334" s="24" t="s">
        <v>3796</v>
      </c>
      <c r="K334" s="299" t="s">
        <v>134</v>
      </c>
      <c r="L334" s="470">
        <v>44630</v>
      </c>
      <c r="M334" s="470">
        <v>44631</v>
      </c>
      <c r="N334" s="299"/>
      <c r="O334" s="299" t="s">
        <v>3810</v>
      </c>
      <c r="P334" s="392">
        <v>7.0000000000000001E-3</v>
      </c>
      <c r="Q334" s="167" t="s">
        <v>4828</v>
      </c>
      <c r="R334" s="417"/>
      <c r="S334" s="292" t="str">
        <f t="shared" si="35"/>
        <v>Não Qualificado</v>
      </c>
      <c r="T334" s="292" t="s">
        <v>127</v>
      </c>
      <c r="U334" s="299" t="s">
        <v>3824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3793</v>
      </c>
      <c r="B335" s="104" t="s">
        <v>1872</v>
      </c>
      <c r="C335" s="390" t="s">
        <v>1870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3796</v>
      </c>
      <c r="K335" s="293" t="s">
        <v>134</v>
      </c>
      <c r="L335" s="415">
        <v>44340</v>
      </c>
      <c r="M335" s="415">
        <v>44340</v>
      </c>
      <c r="N335" s="299"/>
      <c r="O335" s="299" t="s">
        <v>3817</v>
      </c>
      <c r="P335" s="388">
        <v>2.5000000000000001E-2</v>
      </c>
      <c r="Q335" s="420" t="s">
        <v>4829</v>
      </c>
      <c r="R335" s="417"/>
      <c r="S335" s="292" t="str">
        <f t="shared" si="35"/>
        <v/>
      </c>
      <c r="T335" s="292" t="s">
        <v>127</v>
      </c>
      <c r="U335" s="292" t="s">
        <v>3805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3793</v>
      </c>
      <c r="B336" s="104" t="s">
        <v>1872</v>
      </c>
      <c r="C336" s="122" t="s">
        <v>1870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134</v>
      </c>
      <c r="K336" s="293" t="s">
        <v>134</v>
      </c>
      <c r="L336" s="415">
        <v>44265</v>
      </c>
      <c r="M336" s="415">
        <v>44265</v>
      </c>
      <c r="N336" s="292"/>
      <c r="O336" s="292" t="s">
        <v>3810</v>
      </c>
      <c r="P336" s="388">
        <v>7.0000000000000001E-3</v>
      </c>
      <c r="Q336" s="420" t="s">
        <v>4830</v>
      </c>
      <c r="R336" s="417"/>
      <c r="S336" s="292" t="str">
        <f t="shared" si="35"/>
        <v>Não Qualificado</v>
      </c>
      <c r="T336" s="292" t="s">
        <v>127</v>
      </c>
      <c r="U336" s="292" t="s">
        <v>3805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3154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3793</v>
      </c>
      <c r="B337" s="104" t="s">
        <v>4831</v>
      </c>
      <c r="C337" s="390" t="s">
        <v>4832</v>
      </c>
      <c r="D337" s="299">
        <v>2580097</v>
      </c>
      <c r="E337" s="292" t="s">
        <v>19</v>
      </c>
      <c r="F337" s="292" t="s">
        <v>20</v>
      </c>
      <c r="G337" s="292" t="s">
        <v>3689</v>
      </c>
      <c r="H337" s="292" t="str">
        <f>IFERROR(VLOOKUP(G337,'Cadastro de assessores'!A:B,2,FALSE),"Não Cadastrado")</f>
        <v>18266</v>
      </c>
      <c r="I337" s="292"/>
      <c r="J337" s="24" t="s">
        <v>125</v>
      </c>
      <c r="K337" s="292" t="s">
        <v>3802</v>
      </c>
      <c r="L337" s="391">
        <v>44341</v>
      </c>
      <c r="M337" s="391">
        <v>44341</v>
      </c>
      <c r="N337" s="387">
        <v>44788</v>
      </c>
      <c r="O337" s="299" t="s">
        <v>4833</v>
      </c>
      <c r="P337" s="388">
        <v>2.5000000000000001E-2</v>
      </c>
      <c r="Q337" s="420" t="s">
        <v>4834</v>
      </c>
      <c r="R337" s="417"/>
      <c r="S337" s="292" t="str">
        <f t="shared" si="35"/>
        <v/>
      </c>
      <c r="T337" s="292" t="s">
        <v>127</v>
      </c>
      <c r="U337" s="292" t="s">
        <v>3805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3793</v>
      </c>
      <c r="B338" s="104" t="s">
        <v>4835</v>
      </c>
      <c r="C338" s="390" t="s">
        <v>4836</v>
      </c>
      <c r="D338" s="299">
        <v>6130739</v>
      </c>
      <c r="E338" s="292" t="s">
        <v>19</v>
      </c>
      <c r="F338" s="292" t="s">
        <v>66</v>
      </c>
      <c r="G338" s="299" t="s">
        <v>316</v>
      </c>
      <c r="H338" s="299" t="str">
        <f>IFERROR(VLOOKUP(G338,'Cadastro de assessores'!A:B,2,FALSE),"Não Cadastrado")</f>
        <v>18009</v>
      </c>
      <c r="I338" s="299"/>
      <c r="J338" s="24" t="s">
        <v>125</v>
      </c>
      <c r="K338" s="292" t="s">
        <v>3802</v>
      </c>
      <c r="L338" s="387">
        <v>44424</v>
      </c>
      <c r="M338" s="387">
        <v>44424</v>
      </c>
      <c r="N338" s="391">
        <v>44642</v>
      </c>
      <c r="O338" s="299" t="s">
        <v>4027</v>
      </c>
      <c r="P338" s="388">
        <v>0.02</v>
      </c>
      <c r="Q338" s="420" t="s">
        <v>4837</v>
      </c>
      <c r="R338" s="417"/>
      <c r="S338" s="292" t="str">
        <f t="shared" si="35"/>
        <v>Não Qualificado</v>
      </c>
      <c r="T338" s="292" t="s">
        <v>127</v>
      </c>
      <c r="U338" s="299" t="s">
        <v>3854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2940</v>
      </c>
      <c r="BE338" s="339" t="s">
        <v>2940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3793</v>
      </c>
      <c r="B339" s="104" t="s">
        <v>1889</v>
      </c>
      <c r="C339" s="390" t="s">
        <v>1887</v>
      </c>
      <c r="D339" s="299">
        <v>511539</v>
      </c>
      <c r="E339" s="293" t="s">
        <v>19</v>
      </c>
      <c r="F339" s="293" t="s">
        <v>66</v>
      </c>
      <c r="G339" s="293" t="s">
        <v>316</v>
      </c>
      <c r="H339" s="293" t="str">
        <f>IFERROR(VLOOKUP(G339,'Cadastro de assessores'!A:B,2,FALSE),"Não Cadastrado")</f>
        <v>18009</v>
      </c>
      <c r="I339" s="293"/>
      <c r="J339" s="24" t="s">
        <v>3796</v>
      </c>
      <c r="K339" s="293" t="s">
        <v>134</v>
      </c>
      <c r="L339" s="415">
        <v>44368</v>
      </c>
      <c r="M339" s="415">
        <v>44379</v>
      </c>
      <c r="N339" s="299"/>
      <c r="O339" s="299" t="s">
        <v>3986</v>
      </c>
      <c r="P339" s="388">
        <v>0.02</v>
      </c>
      <c r="Q339" s="420" t="s">
        <v>4838</v>
      </c>
      <c r="R339" s="417"/>
      <c r="S339" s="292" t="str">
        <f t="shared" si="35"/>
        <v>Não Qualificado</v>
      </c>
      <c r="T339" s="292" t="s">
        <v>127</v>
      </c>
      <c r="U339" s="299" t="s">
        <v>3854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3793</v>
      </c>
      <c r="B340" s="104" t="s">
        <v>4839</v>
      </c>
      <c r="C340" s="122" t="s">
        <v>4840</v>
      </c>
      <c r="D340" s="292">
        <v>4687018</v>
      </c>
      <c r="E340" s="292" t="s">
        <v>46</v>
      </c>
      <c r="F340" s="292" t="s">
        <v>20</v>
      </c>
      <c r="G340" s="292" t="s">
        <v>4841</v>
      </c>
      <c r="H340" s="292" t="str">
        <f>IFERROR(VLOOKUP(G340,'Cadastro de assessores'!A:B,2,FALSE),"Não Cadastrado")</f>
        <v>1153</v>
      </c>
      <c r="I340" s="292"/>
      <c r="J340" s="24" t="s">
        <v>125</v>
      </c>
      <c r="K340" s="292" t="s">
        <v>3802</v>
      </c>
      <c r="L340" s="387">
        <v>44225</v>
      </c>
      <c r="M340" s="387">
        <v>44225</v>
      </c>
      <c r="N340" s="387">
        <v>44627</v>
      </c>
      <c r="O340" s="292" t="s">
        <v>3817</v>
      </c>
      <c r="P340" s="388">
        <v>2.5000000000000001E-2</v>
      </c>
      <c r="Q340" s="420" t="s">
        <v>4842</v>
      </c>
      <c r="R340" s="417"/>
      <c r="S340" s="292" t="str">
        <f t="shared" si="35"/>
        <v>Não Qualificado</v>
      </c>
      <c r="T340" s="292" t="s">
        <v>127</v>
      </c>
      <c r="U340" s="292" t="s">
        <v>3819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2940</v>
      </c>
      <c r="BE340" s="339" t="s">
        <v>2940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3793</v>
      </c>
      <c r="B341" s="104" t="s">
        <v>4843</v>
      </c>
      <c r="C341" s="122" t="s">
        <v>4844</v>
      </c>
      <c r="D341" s="292">
        <v>4637696</v>
      </c>
      <c r="E341" s="293" t="s">
        <v>19</v>
      </c>
      <c r="F341" s="293" t="s">
        <v>20</v>
      </c>
      <c r="G341" s="293" t="s">
        <v>2518</v>
      </c>
      <c r="H341" s="293" t="str">
        <f>IFERROR(VLOOKUP(G341,'Cadastro de assessores'!A:B,2,FALSE),"Não Cadastrado")</f>
        <v>18256</v>
      </c>
      <c r="I341" s="293"/>
      <c r="J341" s="24" t="s">
        <v>3796</v>
      </c>
      <c r="K341" s="293" t="s">
        <v>134</v>
      </c>
      <c r="L341" s="415">
        <v>44249</v>
      </c>
      <c r="M341" s="415">
        <v>44249</v>
      </c>
      <c r="N341" s="292"/>
      <c r="O341" s="292" t="s">
        <v>3803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127</v>
      </c>
      <c r="U341" s="292" t="s">
        <v>3805</v>
      </c>
      <c r="V341" s="292" t="s">
        <v>20</v>
      </c>
      <c r="W341" s="418" t="s">
        <v>3806</v>
      </c>
      <c r="X341" s="418" t="s">
        <v>3806</v>
      </c>
      <c r="Y341" s="418" t="s">
        <v>3806</v>
      </c>
      <c r="Z341" s="418" t="s">
        <v>3806</v>
      </c>
      <c r="AA341" s="418" t="s">
        <v>3806</v>
      </c>
      <c r="AB341" s="418" t="s">
        <v>3806</v>
      </c>
      <c r="AC341" s="418" t="s">
        <v>3806</v>
      </c>
      <c r="AD341" s="418" t="s">
        <v>3806</v>
      </c>
      <c r="AE341" s="418" t="s">
        <v>3806</v>
      </c>
      <c r="AF341" s="418" t="s">
        <v>3806</v>
      </c>
      <c r="AG341" s="418" t="s">
        <v>3806</v>
      </c>
      <c r="AH341" s="418" t="s">
        <v>3806</v>
      </c>
      <c r="AI341" s="418" t="s">
        <v>3806</v>
      </c>
      <c r="AJ341" s="418" t="s">
        <v>3806</v>
      </c>
      <c r="AK341" s="339" t="s">
        <v>3154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3793</v>
      </c>
      <c r="B342" s="104" t="s">
        <v>4845</v>
      </c>
      <c r="C342" s="122" t="s">
        <v>4846</v>
      </c>
      <c r="D342" s="292">
        <v>4644940</v>
      </c>
      <c r="E342" s="293" t="s">
        <v>2931</v>
      </c>
      <c r="F342" s="293" t="s">
        <v>20</v>
      </c>
      <c r="G342" s="293" t="s">
        <v>2931</v>
      </c>
      <c r="H342" s="293" t="str">
        <f>IFERROR(VLOOKUP(G342,'Cadastro de assessores'!A:B,2,FALSE),"Não Cadastrado")</f>
        <v>18986</v>
      </c>
      <c r="I342" s="293"/>
      <c r="J342" s="24" t="s">
        <v>3796</v>
      </c>
      <c r="K342" s="293" t="s">
        <v>134</v>
      </c>
      <c r="L342" s="416">
        <v>44186</v>
      </c>
      <c r="M342" s="416">
        <v>44195</v>
      </c>
      <c r="N342" s="292"/>
      <c r="O342" s="292" t="s">
        <v>3813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127</v>
      </c>
      <c r="U342" s="292" t="s">
        <v>3824</v>
      </c>
      <c r="V342" s="292" t="s">
        <v>20</v>
      </c>
      <c r="W342" s="418" t="s">
        <v>3806</v>
      </c>
      <c r="X342" s="418" t="s">
        <v>3806</v>
      </c>
      <c r="Y342" s="418" t="s">
        <v>3806</v>
      </c>
      <c r="Z342" s="418" t="s">
        <v>3806</v>
      </c>
      <c r="AA342" s="418" t="s">
        <v>3806</v>
      </c>
      <c r="AB342" s="418" t="s">
        <v>3806</v>
      </c>
      <c r="AC342" s="418" t="s">
        <v>3806</v>
      </c>
      <c r="AD342" s="418" t="s">
        <v>3806</v>
      </c>
      <c r="AE342" s="418" t="s">
        <v>3806</v>
      </c>
      <c r="AF342" s="418" t="s">
        <v>3806</v>
      </c>
      <c r="AG342" s="418" t="s">
        <v>3806</v>
      </c>
      <c r="AH342" s="418" t="s">
        <v>3806</v>
      </c>
      <c r="AI342" s="418" t="s">
        <v>3806</v>
      </c>
      <c r="AJ342" s="418" t="s">
        <v>3806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3793</v>
      </c>
      <c r="B343" s="104" t="s">
        <v>4847</v>
      </c>
      <c r="C343" s="441" t="s">
        <v>1897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3796</v>
      </c>
      <c r="K343" s="293" t="s">
        <v>134</v>
      </c>
      <c r="L343" s="423">
        <v>44782</v>
      </c>
      <c r="M343" s="423">
        <v>44774</v>
      </c>
      <c r="N343" s="299"/>
      <c r="O343" s="299" t="s">
        <v>3810</v>
      </c>
      <c r="P343" s="388">
        <v>7.0000000000000001E-3</v>
      </c>
      <c r="Q343" s="420" t="s">
        <v>3810</v>
      </c>
      <c r="R343" s="417"/>
      <c r="S343" s="292"/>
      <c r="T343" s="292" t="s">
        <v>127</v>
      </c>
      <c r="U343" s="292" t="s">
        <v>3805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3793</v>
      </c>
      <c r="B344" s="104" t="s">
        <v>1903</v>
      </c>
      <c r="C344" s="441" t="s">
        <v>1901</v>
      </c>
      <c r="D344" s="422">
        <v>7998263</v>
      </c>
      <c r="E344" s="293" t="s">
        <v>19</v>
      </c>
      <c r="F344" s="293" t="s">
        <v>66</v>
      </c>
      <c r="G344" s="293" t="s">
        <v>144</v>
      </c>
      <c r="H344" s="293">
        <f>IFERROR(VLOOKUP(G344,'Cadastro de assessores'!A:B,2,FALSE),"Não Cadastrado")</f>
        <v>12331</v>
      </c>
      <c r="I344" s="293"/>
      <c r="J344" s="24" t="s">
        <v>3796</v>
      </c>
      <c r="K344" s="293" t="s">
        <v>134</v>
      </c>
      <c r="L344" s="423">
        <v>44615</v>
      </c>
      <c r="M344" s="423">
        <v>44623</v>
      </c>
      <c r="N344" s="299"/>
      <c r="O344" s="299" t="s">
        <v>3810</v>
      </c>
      <c r="P344" s="388">
        <v>7.0000000000000001E-3</v>
      </c>
      <c r="Q344" s="420" t="s">
        <v>4848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127</v>
      </c>
      <c r="U344" s="292" t="s">
        <v>4085</v>
      </c>
      <c r="V344" s="292" t="s">
        <v>66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3793</v>
      </c>
      <c r="B345" s="104" t="s">
        <v>4849</v>
      </c>
      <c r="C345" s="122" t="s">
        <v>4850</v>
      </c>
      <c r="D345" s="292">
        <v>4697028</v>
      </c>
      <c r="E345" s="293" t="s">
        <v>46</v>
      </c>
      <c r="F345" s="293" t="s">
        <v>20</v>
      </c>
      <c r="G345" s="293" t="s">
        <v>4112</v>
      </c>
      <c r="H345" s="293" t="str">
        <f>IFERROR(VLOOKUP(G345,'Cadastro de assessores'!A:B,2,FALSE),"Não Cadastrado")</f>
        <v>19157</v>
      </c>
      <c r="I345" s="293"/>
      <c r="J345" s="24" t="s">
        <v>125</v>
      </c>
      <c r="K345" s="293" t="s">
        <v>134</v>
      </c>
      <c r="L345" s="416">
        <v>44189</v>
      </c>
      <c r="M345" s="416">
        <v>44195</v>
      </c>
      <c r="N345" s="292"/>
      <c r="O345" s="292" t="s">
        <v>3797</v>
      </c>
      <c r="P345" s="388">
        <v>0.02</v>
      </c>
      <c r="Q345" s="420"/>
      <c r="R345" s="417"/>
      <c r="S345" s="292" t="str">
        <f t="shared" si="36"/>
        <v/>
      </c>
      <c r="T345" s="292" t="s">
        <v>127</v>
      </c>
      <c r="U345" s="292" t="s">
        <v>4217</v>
      </c>
      <c r="V345" s="292" t="s">
        <v>20</v>
      </c>
      <c r="W345" s="418" t="s">
        <v>3806</v>
      </c>
      <c r="X345" s="418" t="s">
        <v>3806</v>
      </c>
      <c r="Y345" s="418" t="s">
        <v>3806</v>
      </c>
      <c r="Z345" s="418" t="s">
        <v>3806</v>
      </c>
      <c r="AA345" s="418" t="s">
        <v>3806</v>
      </c>
      <c r="AB345" s="418" t="s">
        <v>3806</v>
      </c>
      <c r="AC345" s="418" t="s">
        <v>3806</v>
      </c>
      <c r="AD345" s="418" t="s">
        <v>3806</v>
      </c>
      <c r="AE345" s="418" t="s">
        <v>3806</v>
      </c>
      <c r="AF345" s="418" t="s">
        <v>3806</v>
      </c>
      <c r="AG345" s="418" t="s">
        <v>3806</v>
      </c>
      <c r="AH345" s="418" t="s">
        <v>3806</v>
      </c>
      <c r="AI345" s="418" t="s">
        <v>3806</v>
      </c>
      <c r="AJ345" s="418" t="s">
        <v>3806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3793</v>
      </c>
      <c r="B346" s="104" t="s">
        <v>1906</v>
      </c>
      <c r="C346" s="122" t="s">
        <v>1904</v>
      </c>
      <c r="D346" s="292">
        <v>4945025</v>
      </c>
      <c r="E346" s="293" t="s">
        <v>19</v>
      </c>
      <c r="F346" s="293" t="s">
        <v>20</v>
      </c>
      <c r="G346" s="293" t="s">
        <v>3080</v>
      </c>
      <c r="H346" s="293" t="str">
        <f>IFERROR(VLOOKUP(G346,'Cadastro de assessores'!A:B,2,FALSE),"Não Cadastrado")</f>
        <v>18236</v>
      </c>
      <c r="I346" s="293"/>
      <c r="J346" s="24" t="s">
        <v>3796</v>
      </c>
      <c r="K346" s="293" t="s">
        <v>134</v>
      </c>
      <c r="L346" s="415">
        <v>44266</v>
      </c>
      <c r="M346" s="415">
        <v>44266</v>
      </c>
      <c r="N346" s="292"/>
      <c r="O346" s="292" t="s">
        <v>3813</v>
      </c>
      <c r="P346" s="388">
        <v>1.2E-2</v>
      </c>
      <c r="Q346" s="420" t="s">
        <v>4848</v>
      </c>
      <c r="R346" s="417"/>
      <c r="S346" s="292" t="str">
        <f t="shared" si="36"/>
        <v>Qualificado</v>
      </c>
      <c r="T346" s="292" t="s">
        <v>127</v>
      </c>
      <c r="U346" s="292" t="s">
        <v>3999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3793</v>
      </c>
      <c r="B347" s="104" t="s">
        <v>4851</v>
      </c>
      <c r="C347" s="86" t="s">
        <v>4852</v>
      </c>
      <c r="D347" s="299">
        <v>7438369</v>
      </c>
      <c r="E347" s="292" t="s">
        <v>46</v>
      </c>
      <c r="F347" s="292" t="s">
        <v>20</v>
      </c>
      <c r="G347" s="299" t="s">
        <v>3855</v>
      </c>
      <c r="H347" s="292" t="str">
        <f>IFERROR(VLOOKUP(G347,'Cadastro de assessores'!A:B,2,FALSE),"Não Cadastrado")</f>
        <v>12624</v>
      </c>
      <c r="I347" s="292"/>
      <c r="J347" s="24" t="s">
        <v>125</v>
      </c>
      <c r="K347" s="292" t="s">
        <v>3802</v>
      </c>
      <c r="L347" s="471">
        <v>44551</v>
      </c>
      <c r="M347" s="471">
        <v>44551</v>
      </c>
      <c r="N347" s="308">
        <v>44329</v>
      </c>
      <c r="O347" s="299" t="s">
        <v>3817</v>
      </c>
      <c r="P347" s="388">
        <v>2.5000000000000001E-2</v>
      </c>
      <c r="Q347" s="420" t="s">
        <v>4853</v>
      </c>
      <c r="R347" s="417"/>
      <c r="S347" s="292" t="str">
        <f t="shared" si="36"/>
        <v>Não Qualificado</v>
      </c>
      <c r="T347" s="292" t="s">
        <v>127</v>
      </c>
      <c r="U347" s="292" t="s">
        <v>3805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2940</v>
      </c>
      <c r="BE347" s="339" t="s">
        <v>2940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3793</v>
      </c>
      <c r="B348" s="104" t="s">
        <v>4851</v>
      </c>
      <c r="C348" s="86" t="s">
        <v>4852</v>
      </c>
      <c r="D348" s="299">
        <v>7542389</v>
      </c>
      <c r="E348" s="292" t="s">
        <v>46</v>
      </c>
      <c r="F348" s="292" t="s">
        <v>20</v>
      </c>
      <c r="G348" s="299" t="s">
        <v>3855</v>
      </c>
      <c r="H348" s="292" t="str">
        <f>IFERROR(VLOOKUP(G348,'Cadastro de assessores'!A:B,2,FALSE),"Não Cadastrado")</f>
        <v>12624</v>
      </c>
      <c r="I348" s="292"/>
      <c r="J348" s="24" t="s">
        <v>125</v>
      </c>
      <c r="K348" s="292" t="s">
        <v>3802</v>
      </c>
      <c r="L348" s="391">
        <v>44579</v>
      </c>
      <c r="M348" s="391">
        <v>44579</v>
      </c>
      <c r="N348" s="391">
        <v>44694</v>
      </c>
      <c r="O348" s="299" t="s">
        <v>3810</v>
      </c>
      <c r="P348" s="388">
        <v>7.0000000000000001E-3</v>
      </c>
      <c r="Q348" s="420" t="s">
        <v>4853</v>
      </c>
      <c r="R348" s="417"/>
      <c r="S348" s="292" t="str">
        <f t="shared" si="36"/>
        <v>Não Qualificado</v>
      </c>
      <c r="T348" s="292" t="s">
        <v>127</v>
      </c>
      <c r="U348" s="292" t="s">
        <v>3805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2940</v>
      </c>
      <c r="BE348" s="339" t="s">
        <v>2940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3793</v>
      </c>
      <c r="B349" s="104" t="s">
        <v>4854</v>
      </c>
      <c r="C349" s="122" t="s">
        <v>4855</v>
      </c>
      <c r="D349" s="292">
        <v>4455201</v>
      </c>
      <c r="E349" s="292" t="s">
        <v>46</v>
      </c>
      <c r="F349" s="292" t="s">
        <v>20</v>
      </c>
      <c r="G349" s="292" t="s">
        <v>3981</v>
      </c>
      <c r="H349" s="292" t="str">
        <f>IFERROR(VLOOKUP(G349,'Cadastro de assessores'!A:B,2,FALSE),"Não Cadastrado")</f>
        <v>16459</v>
      </c>
      <c r="I349" s="292"/>
      <c r="J349" s="24" t="s">
        <v>125</v>
      </c>
      <c r="K349" s="292" t="s">
        <v>3802</v>
      </c>
      <c r="L349" s="387">
        <v>44097</v>
      </c>
      <c r="M349" s="387">
        <v>44097</v>
      </c>
      <c r="N349" s="387">
        <v>44210</v>
      </c>
      <c r="O349" s="292" t="s">
        <v>3797</v>
      </c>
      <c r="P349" s="388">
        <v>0.02</v>
      </c>
      <c r="Q349" s="420" t="s">
        <v>4856</v>
      </c>
      <c r="R349" s="417"/>
      <c r="S349" s="292" t="str">
        <f t="shared" si="36"/>
        <v/>
      </c>
      <c r="T349" s="292" t="s">
        <v>127</v>
      </c>
      <c r="U349" s="292" t="s">
        <v>3824</v>
      </c>
      <c r="V349" s="292" t="s">
        <v>20</v>
      </c>
      <c r="W349" s="418" t="s">
        <v>3806</v>
      </c>
      <c r="X349" s="418" t="s">
        <v>3806</v>
      </c>
      <c r="Y349" s="418" t="s">
        <v>3806</v>
      </c>
      <c r="Z349" s="418" t="s">
        <v>3806</v>
      </c>
      <c r="AA349" s="418" t="s">
        <v>3806</v>
      </c>
      <c r="AB349" s="418" t="s">
        <v>3806</v>
      </c>
      <c r="AC349" s="418" t="s">
        <v>3806</v>
      </c>
      <c r="AD349" s="418" t="s">
        <v>3806</v>
      </c>
      <c r="AE349" s="418" t="s">
        <v>3806</v>
      </c>
      <c r="AF349" s="418" t="s">
        <v>3806</v>
      </c>
      <c r="AG349" s="418" t="s">
        <v>3806</v>
      </c>
      <c r="AH349" s="418" t="s">
        <v>4857</v>
      </c>
      <c r="AI349" s="418" t="s">
        <v>4858</v>
      </c>
      <c r="AJ349" s="418" t="s">
        <v>4859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2940</v>
      </c>
      <c r="BE349" s="339" t="s">
        <v>2940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3793</v>
      </c>
      <c r="B350" s="104" t="s">
        <v>1917</v>
      </c>
      <c r="C350" s="390" t="s">
        <v>1915</v>
      </c>
      <c r="D350" s="299">
        <v>8598875</v>
      </c>
      <c r="E350" s="293" t="s">
        <v>19</v>
      </c>
      <c r="F350" s="293" t="s">
        <v>20</v>
      </c>
      <c r="G350" s="299" t="s">
        <v>3647</v>
      </c>
      <c r="H350" s="293" t="str">
        <f>IFERROR(VLOOKUP(G350,'Cadastro de assessores'!A:B,2,FALSE),"Não Cadastrado")</f>
        <v>14739</v>
      </c>
      <c r="I350" s="293"/>
      <c r="J350" s="24" t="s">
        <v>3796</v>
      </c>
      <c r="K350" s="293" t="s">
        <v>134</v>
      </c>
      <c r="L350" s="423">
        <v>44699</v>
      </c>
      <c r="M350" s="423">
        <v>44708</v>
      </c>
      <c r="N350" s="299"/>
      <c r="O350" s="299" t="s">
        <v>4027</v>
      </c>
      <c r="P350" s="388">
        <v>0.02</v>
      </c>
      <c r="Q350" s="420" t="s">
        <v>4860</v>
      </c>
      <c r="R350" s="417"/>
      <c r="S350" s="292" t="str">
        <f t="shared" si="36"/>
        <v/>
      </c>
      <c r="T350" s="292" t="s">
        <v>127</v>
      </c>
      <c r="U350" s="299" t="s">
        <v>4334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2940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3793</v>
      </c>
      <c r="B351" s="104" t="s">
        <v>1917</v>
      </c>
      <c r="C351" s="390" t="s">
        <v>1915</v>
      </c>
      <c r="D351" s="299">
        <v>8524764</v>
      </c>
      <c r="E351" s="293" t="s">
        <v>19</v>
      </c>
      <c r="F351" s="293" t="s">
        <v>20</v>
      </c>
      <c r="G351" s="299" t="s">
        <v>3647</v>
      </c>
      <c r="H351" s="293" t="str">
        <f>IFERROR(VLOOKUP(G351,'Cadastro de assessores'!A:B,2,FALSE),"Não Cadastrado")</f>
        <v>14739</v>
      </c>
      <c r="I351" s="293"/>
      <c r="J351" s="24" t="s">
        <v>3796</v>
      </c>
      <c r="K351" s="293" t="s">
        <v>134</v>
      </c>
      <c r="L351" s="423">
        <v>44691</v>
      </c>
      <c r="M351" s="423">
        <v>44698</v>
      </c>
      <c r="N351" s="299"/>
      <c r="O351" s="299" t="s">
        <v>3817</v>
      </c>
      <c r="P351" s="388">
        <v>2.5000000000000001E-2</v>
      </c>
      <c r="Q351" s="420" t="s">
        <v>4860</v>
      </c>
      <c r="R351" s="417"/>
      <c r="S351" s="292" t="str">
        <f t="shared" si="36"/>
        <v>Qualificado</v>
      </c>
      <c r="T351" s="292" t="s">
        <v>127</v>
      </c>
      <c r="U351" s="299" t="s">
        <v>4334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3793</v>
      </c>
      <c r="B352" s="104" t="s">
        <v>4861</v>
      </c>
      <c r="C352" s="472" t="s">
        <v>4862</v>
      </c>
      <c r="D352" s="473">
        <v>5686058</v>
      </c>
      <c r="E352" s="292" t="s">
        <v>19</v>
      </c>
      <c r="F352" s="292" t="s">
        <v>20</v>
      </c>
      <c r="G352" s="292" t="s">
        <v>4351</v>
      </c>
      <c r="H352" s="292" t="str">
        <f>IFERROR(VLOOKUP(G352,'Cadastro de assessores'!A:B,2,FALSE),"Não Cadastrado")</f>
        <v>16130</v>
      </c>
      <c r="I352" s="292"/>
      <c r="J352" s="24" t="s">
        <v>125</v>
      </c>
      <c r="K352" s="292" t="s">
        <v>3802</v>
      </c>
      <c r="L352" s="387">
        <v>44370</v>
      </c>
      <c r="M352" s="387">
        <v>44370</v>
      </c>
      <c r="N352" s="387">
        <v>44768</v>
      </c>
      <c r="O352" s="292" t="s">
        <v>3810</v>
      </c>
      <c r="P352" s="388">
        <v>7.0000000000000001E-3</v>
      </c>
      <c r="Q352" s="420" t="s">
        <v>4863</v>
      </c>
      <c r="R352" s="417"/>
      <c r="S352" s="292" t="str">
        <f t="shared" si="36"/>
        <v>Não Qualificado</v>
      </c>
      <c r="T352" s="292" t="s">
        <v>127</v>
      </c>
      <c r="U352" s="299" t="s">
        <v>3840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3793</v>
      </c>
      <c r="B353" s="104" t="s">
        <v>1925</v>
      </c>
      <c r="C353" s="122" t="s">
        <v>4864</v>
      </c>
      <c r="D353" s="292">
        <v>4899222</v>
      </c>
      <c r="E353" s="293" t="s">
        <v>19</v>
      </c>
      <c r="F353" s="293" t="s">
        <v>66</v>
      </c>
      <c r="G353" s="293" t="s">
        <v>265</v>
      </c>
      <c r="H353" s="293" t="str">
        <f>IFERROR(VLOOKUP(G353,'Cadastro de assessores'!A:B,2,FALSE),"Não Cadastrado")</f>
        <v>17831</v>
      </c>
      <c r="I353" s="293"/>
      <c r="J353" s="24" t="s">
        <v>134</v>
      </c>
      <c r="K353" s="293" t="s">
        <v>134</v>
      </c>
      <c r="L353" s="423">
        <v>44714</v>
      </c>
      <c r="M353" s="423">
        <v>44714</v>
      </c>
      <c r="N353" s="299"/>
      <c r="O353" s="299" t="s">
        <v>3817</v>
      </c>
      <c r="P353" s="388">
        <v>2.5000000000000001E-2</v>
      </c>
      <c r="Q353" s="420" t="s">
        <v>4865</v>
      </c>
      <c r="R353" s="417"/>
      <c r="S353" s="292" t="str">
        <f t="shared" si="36"/>
        <v/>
      </c>
      <c r="T353" s="292" t="s">
        <v>127</v>
      </c>
      <c r="U353" s="292" t="s">
        <v>3849</v>
      </c>
      <c r="V353" s="292" t="s">
        <v>66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3793</v>
      </c>
      <c r="B354" s="104" t="s">
        <v>4866</v>
      </c>
      <c r="C354" s="122" t="s">
        <v>4867</v>
      </c>
      <c r="D354" s="292">
        <v>4402972</v>
      </c>
      <c r="E354" s="293" t="s">
        <v>2931</v>
      </c>
      <c r="F354" s="293" t="s">
        <v>20</v>
      </c>
      <c r="G354" s="293" t="s">
        <v>2931</v>
      </c>
      <c r="H354" s="293" t="str">
        <f>IFERROR(VLOOKUP(G354,'Cadastro de assessores'!A:B,2,FALSE),"Não Cadastrado")</f>
        <v>18986</v>
      </c>
      <c r="I354" s="293"/>
      <c r="J354" s="24" t="s">
        <v>3796</v>
      </c>
      <c r="K354" s="292" t="s">
        <v>145</v>
      </c>
      <c r="L354" s="415">
        <v>44063</v>
      </c>
      <c r="M354" s="415">
        <v>44068</v>
      </c>
      <c r="N354" s="292"/>
      <c r="O354" s="292" t="s">
        <v>3803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127</v>
      </c>
      <c r="U354" s="292" t="s">
        <v>3867</v>
      </c>
      <c r="V354" s="292" t="s">
        <v>20</v>
      </c>
      <c r="W354" s="418" t="s">
        <v>3806</v>
      </c>
      <c r="X354" s="418" t="s">
        <v>3806</v>
      </c>
      <c r="Y354" s="418" t="s">
        <v>3806</v>
      </c>
      <c r="Z354" s="418" t="s">
        <v>3806</v>
      </c>
      <c r="AA354" s="418" t="s">
        <v>3806</v>
      </c>
      <c r="AB354" s="418" t="s">
        <v>3806</v>
      </c>
      <c r="AC354" s="418" t="s">
        <v>3806</v>
      </c>
      <c r="AD354" s="418" t="s">
        <v>3806</v>
      </c>
      <c r="AE354" s="418" t="s">
        <v>3806</v>
      </c>
      <c r="AF354" s="418" t="s">
        <v>3806</v>
      </c>
      <c r="AG354" s="418" t="s">
        <v>4868</v>
      </c>
      <c r="AH354" s="418" t="s">
        <v>4869</v>
      </c>
      <c r="AI354" s="418" t="s">
        <v>4870</v>
      </c>
      <c r="AJ354" s="418" t="s">
        <v>4871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2940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3793</v>
      </c>
      <c r="B355" s="104" t="s">
        <v>4872</v>
      </c>
      <c r="C355" s="122" t="s">
        <v>4873</v>
      </c>
      <c r="D355" s="292">
        <v>4681835</v>
      </c>
      <c r="E355" s="292" t="s">
        <v>46</v>
      </c>
      <c r="F355" s="292" t="s">
        <v>20</v>
      </c>
      <c r="G355" s="292" t="s">
        <v>3981</v>
      </c>
      <c r="H355" s="292" t="str">
        <f>IFERROR(VLOOKUP(G355,'Cadastro de assessores'!A:B,2,FALSE),"Não Cadastrado")</f>
        <v>16459</v>
      </c>
      <c r="I355" s="292"/>
      <c r="J355" s="24" t="s">
        <v>125</v>
      </c>
      <c r="K355" s="292" t="s">
        <v>3802</v>
      </c>
      <c r="L355" s="387">
        <v>44204</v>
      </c>
      <c r="M355" s="387">
        <v>44204</v>
      </c>
      <c r="N355" s="387">
        <v>44713</v>
      </c>
      <c r="O355" s="292" t="s">
        <v>3797</v>
      </c>
      <c r="P355" s="388">
        <v>0.02</v>
      </c>
      <c r="Q355" s="420" t="s">
        <v>4874</v>
      </c>
      <c r="R355" s="417"/>
      <c r="S355" s="292" t="str">
        <f t="shared" si="36"/>
        <v>Não Qualificado</v>
      </c>
      <c r="T355" s="292" t="s">
        <v>127</v>
      </c>
      <c r="U355" s="292" t="s">
        <v>3805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2940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3793</v>
      </c>
      <c r="B356" s="104" t="s">
        <v>4875</v>
      </c>
      <c r="C356" s="122" t="s">
        <v>4876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3796</v>
      </c>
      <c r="K356" s="293" t="s">
        <v>134</v>
      </c>
      <c r="L356" s="415">
        <v>44165</v>
      </c>
      <c r="M356" s="415">
        <v>44169</v>
      </c>
      <c r="N356" s="292"/>
      <c r="O356" s="292" t="s">
        <v>3797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127</v>
      </c>
      <c r="U356" s="292" t="s">
        <v>3937</v>
      </c>
      <c r="V356" s="292" t="s">
        <v>20</v>
      </c>
      <c r="W356" s="418" t="s">
        <v>3806</v>
      </c>
      <c r="X356" s="418" t="s">
        <v>3806</v>
      </c>
      <c r="Y356" s="418" t="s">
        <v>3806</v>
      </c>
      <c r="Z356" s="418" t="s">
        <v>3806</v>
      </c>
      <c r="AA356" s="418" t="s">
        <v>3806</v>
      </c>
      <c r="AB356" s="418" t="s">
        <v>3806</v>
      </c>
      <c r="AC356" s="418" t="s">
        <v>3806</v>
      </c>
      <c r="AD356" s="418" t="s">
        <v>3806</v>
      </c>
      <c r="AE356" s="418" t="s">
        <v>3806</v>
      </c>
      <c r="AF356" s="418" t="s">
        <v>3806</v>
      </c>
      <c r="AG356" s="418" t="s">
        <v>3806</v>
      </c>
      <c r="AH356" s="418" t="s">
        <v>3806</v>
      </c>
      <c r="AI356" s="418" t="s">
        <v>3806</v>
      </c>
      <c r="AJ356" s="418" t="s">
        <v>3806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3793</v>
      </c>
      <c r="B357" s="104" t="s">
        <v>4877</v>
      </c>
      <c r="C357" s="390" t="s">
        <v>1971</v>
      </c>
      <c r="D357" s="307">
        <v>8993002</v>
      </c>
      <c r="E357" s="292" t="s">
        <v>19</v>
      </c>
      <c r="F357" s="292" t="s">
        <v>66</v>
      </c>
      <c r="G357" s="292" t="s">
        <v>67</v>
      </c>
      <c r="H357" s="293" t="str">
        <f>IFERROR(VLOOKUP(G357,'Cadastro de assessores'!A:B,2,FALSE),"Não Cadastrado")</f>
        <v>18890</v>
      </c>
      <c r="I357" s="293"/>
      <c r="J357" s="24" t="s">
        <v>3796</v>
      </c>
      <c r="K357" s="292" t="s">
        <v>134</v>
      </c>
      <c r="L357" s="387">
        <v>44768</v>
      </c>
      <c r="M357" s="387">
        <v>44769</v>
      </c>
      <c r="N357" s="391"/>
      <c r="O357" s="299" t="s">
        <v>4878</v>
      </c>
      <c r="P357" s="388">
        <v>0.01</v>
      </c>
      <c r="Q357" s="167" t="s">
        <v>3916</v>
      </c>
      <c r="R357" s="417"/>
      <c r="S357" s="292"/>
      <c r="T357" s="292" t="s">
        <v>127</v>
      </c>
      <c r="U357" s="306"/>
      <c r="V357" s="292" t="s">
        <v>202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3793</v>
      </c>
      <c r="B358" s="104" t="s">
        <v>4877</v>
      </c>
      <c r="C358" s="390" t="s">
        <v>1971</v>
      </c>
      <c r="D358" s="462">
        <v>8688674</v>
      </c>
      <c r="E358" s="292" t="s">
        <v>19</v>
      </c>
      <c r="F358" s="292" t="s">
        <v>66</v>
      </c>
      <c r="G358" s="292" t="s">
        <v>67</v>
      </c>
      <c r="H358" s="293" t="str">
        <f>IFERROR(VLOOKUP(G358,'Cadastro de assessores'!A:B,2,FALSE),"Não Cadastrado")</f>
        <v>18890</v>
      </c>
      <c r="I358" s="293"/>
      <c r="J358" s="24" t="s">
        <v>3796</v>
      </c>
      <c r="K358" s="292" t="s">
        <v>134</v>
      </c>
      <c r="L358" s="387">
        <v>44713</v>
      </c>
      <c r="M358" s="387">
        <v>44714</v>
      </c>
      <c r="N358" s="391"/>
      <c r="O358" s="299" t="s">
        <v>4473</v>
      </c>
      <c r="P358" s="388">
        <v>1.2E-2</v>
      </c>
      <c r="Q358" s="167" t="s">
        <v>3916</v>
      </c>
      <c r="R358" s="417"/>
      <c r="S358" s="292" t="s">
        <v>240</v>
      </c>
      <c r="T358" s="292" t="s">
        <v>127</v>
      </c>
      <c r="U358" s="306" t="s">
        <v>3849</v>
      </c>
      <c r="V358" s="292" t="s">
        <v>66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2940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3793</v>
      </c>
      <c r="B359" s="104" t="s">
        <v>4879</v>
      </c>
      <c r="C359" s="390" t="s">
        <v>4880</v>
      </c>
      <c r="D359" s="299">
        <v>5593800</v>
      </c>
      <c r="E359" s="292" t="s">
        <v>19</v>
      </c>
      <c r="F359" s="292" t="s">
        <v>66</v>
      </c>
      <c r="G359" s="292" t="s">
        <v>316</v>
      </c>
      <c r="H359" s="299" t="str">
        <f>IFERROR(VLOOKUP(G359,'Cadastro de assessores'!A:B,2,FALSE),"Não Cadastrado")</f>
        <v>18009</v>
      </c>
      <c r="I359" s="299"/>
      <c r="J359" s="24" t="s">
        <v>125</v>
      </c>
      <c r="K359" s="292" t="s">
        <v>3802</v>
      </c>
      <c r="L359" s="387">
        <v>44344</v>
      </c>
      <c r="M359" s="387">
        <v>44344</v>
      </c>
      <c r="N359" s="391">
        <v>44711</v>
      </c>
      <c r="O359" s="299" t="s">
        <v>3797</v>
      </c>
      <c r="P359" s="388">
        <v>0.02</v>
      </c>
      <c r="Q359" s="167" t="s">
        <v>4881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127</v>
      </c>
      <c r="U359" s="306" t="s">
        <v>3854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2940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3793</v>
      </c>
      <c r="B360" s="104" t="s">
        <v>4882</v>
      </c>
      <c r="C360" s="390" t="s">
        <v>4883</v>
      </c>
      <c r="D360" s="299">
        <v>6493585</v>
      </c>
      <c r="E360" s="293" t="s">
        <v>46</v>
      </c>
      <c r="F360" s="293" t="s">
        <v>20</v>
      </c>
      <c r="G360" s="293" t="s">
        <v>3870</v>
      </c>
      <c r="H360" s="426" t="str">
        <f>IFERROR(VLOOKUP(G360,'Cadastro de assessores'!A:B,2,FALSE),"Não Cadastrado")</f>
        <v>1298</v>
      </c>
      <c r="I360" s="426"/>
      <c r="J360" s="24" t="s">
        <v>3796</v>
      </c>
      <c r="K360" s="293" t="s">
        <v>134</v>
      </c>
      <c r="L360" s="415">
        <v>44449</v>
      </c>
      <c r="M360" s="415">
        <v>44452</v>
      </c>
      <c r="N360" s="426"/>
      <c r="O360" s="426" t="s">
        <v>3813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127</v>
      </c>
      <c r="U360" s="307" t="s">
        <v>4102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3793</v>
      </c>
      <c r="B361" s="104" t="s">
        <v>4884</v>
      </c>
      <c r="C361" s="390" t="s">
        <v>4885</v>
      </c>
      <c r="D361" s="299">
        <v>6980115</v>
      </c>
      <c r="E361" s="299" t="s">
        <v>19</v>
      </c>
      <c r="F361" s="299" t="s">
        <v>66</v>
      </c>
      <c r="G361" s="299" t="s">
        <v>4142</v>
      </c>
      <c r="H361" s="299" t="str">
        <f>IFERROR(VLOOKUP(G361,'Cadastro de assessores'!A:B,2,FALSE),"Não Cadastrado")</f>
        <v>14294</v>
      </c>
      <c r="I361" s="299"/>
      <c r="J361" s="24" t="s">
        <v>125</v>
      </c>
      <c r="K361" s="292" t="s">
        <v>3802</v>
      </c>
      <c r="L361" s="419">
        <v>44517</v>
      </c>
      <c r="M361" s="419">
        <v>44517</v>
      </c>
      <c r="N361" s="391">
        <v>44816</v>
      </c>
      <c r="O361" s="299" t="s">
        <v>3850</v>
      </c>
      <c r="P361" s="388">
        <v>8.0000000000000002E-3</v>
      </c>
      <c r="Q361" s="311" t="s">
        <v>4886</v>
      </c>
      <c r="R361" s="417"/>
      <c r="S361" s="292" t="str">
        <f t="shared" si="37"/>
        <v>Não Qualificado</v>
      </c>
      <c r="T361" s="292" t="s">
        <v>127</v>
      </c>
      <c r="U361" s="307" t="s">
        <v>4887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3793</v>
      </c>
      <c r="B362" s="104" t="s">
        <v>4888</v>
      </c>
      <c r="C362" s="390" t="s">
        <v>4889</v>
      </c>
      <c r="D362" s="299">
        <v>7719774</v>
      </c>
      <c r="E362" s="293" t="s">
        <v>46</v>
      </c>
      <c r="F362" s="293" t="s">
        <v>20</v>
      </c>
      <c r="G362" s="293" t="s">
        <v>3861</v>
      </c>
      <c r="H362" s="426" t="str">
        <f>IFERROR(VLOOKUP(G362,'Cadastro de assessores'!A:B,2,FALSE),"Não Cadastrado")</f>
        <v>1441</v>
      </c>
      <c r="I362" s="426"/>
      <c r="J362" s="24" t="s">
        <v>125</v>
      </c>
      <c r="K362" s="293" t="s">
        <v>134</v>
      </c>
      <c r="L362" s="415">
        <v>44585</v>
      </c>
      <c r="M362" s="415">
        <v>44599</v>
      </c>
      <c r="N362" s="447">
        <v>44886</v>
      </c>
      <c r="O362" s="299" t="s">
        <v>3850</v>
      </c>
      <c r="P362" s="388">
        <v>8.0000000000000002E-3</v>
      </c>
      <c r="Q362" s="167" t="s">
        <v>4890</v>
      </c>
      <c r="R362" s="417"/>
      <c r="S362" s="292" t="str">
        <f t="shared" si="37"/>
        <v>Não Qualificado</v>
      </c>
      <c r="T362" s="292" t="s">
        <v>127</v>
      </c>
      <c r="U362" s="299" t="s">
        <v>4186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3793</v>
      </c>
      <c r="B363" s="104" t="s">
        <v>1991</v>
      </c>
      <c r="C363" s="390" t="s">
        <v>4891</v>
      </c>
      <c r="D363" s="299">
        <v>6604192</v>
      </c>
      <c r="E363" s="293" t="s">
        <v>19</v>
      </c>
      <c r="F363" s="293" t="s">
        <v>20</v>
      </c>
      <c r="G363" s="293" t="s">
        <v>791</v>
      </c>
      <c r="H363" s="293" t="str">
        <f>IFERROR(VLOOKUP(G363,'Cadastro de assessores'!A:B,2,FALSE),"Não Cadastrado")</f>
        <v>18467</v>
      </c>
      <c r="I363" s="293"/>
      <c r="J363" s="24" t="s">
        <v>3796</v>
      </c>
      <c r="K363" s="293" t="s">
        <v>134</v>
      </c>
      <c r="L363" s="415">
        <v>44460</v>
      </c>
      <c r="M363" s="415">
        <v>44460</v>
      </c>
      <c r="N363" s="299"/>
      <c r="O363" s="299" t="s">
        <v>3810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127</v>
      </c>
      <c r="U363" s="299" t="s">
        <v>4892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3793</v>
      </c>
      <c r="B364" s="104" t="s">
        <v>1997</v>
      </c>
      <c r="C364" s="390" t="s">
        <v>4893</v>
      </c>
      <c r="D364" s="299">
        <v>6065019</v>
      </c>
      <c r="E364" s="293" t="s">
        <v>19</v>
      </c>
      <c r="F364" s="292" t="s">
        <v>66</v>
      </c>
      <c r="G364" s="292" t="s">
        <v>67</v>
      </c>
      <c r="H364" s="293" t="str">
        <f>IFERROR(VLOOKUP(G364,'Cadastro de assessores'!A:B,2,FALSE),"Não Cadastrado")</f>
        <v>18890</v>
      </c>
      <c r="I364" s="293"/>
      <c r="J364" s="24" t="s">
        <v>3796</v>
      </c>
      <c r="K364" s="292" t="s">
        <v>134</v>
      </c>
      <c r="L364" s="387">
        <v>44746</v>
      </c>
      <c r="M364" s="387">
        <v>44749</v>
      </c>
      <c r="N364" s="292"/>
      <c r="O364" s="292" t="s">
        <v>3810</v>
      </c>
      <c r="P364" s="388">
        <v>7.0000000000000001E-3</v>
      </c>
      <c r="Q364" s="420" t="s">
        <v>3916</v>
      </c>
      <c r="R364" s="417"/>
      <c r="S364" s="292" t="s">
        <v>240</v>
      </c>
      <c r="T364" s="292" t="s">
        <v>127</v>
      </c>
      <c r="U364" s="292" t="s">
        <v>3849</v>
      </c>
      <c r="V364" s="292" t="s">
        <v>66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2940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3793</v>
      </c>
      <c r="B365" s="104" t="s">
        <v>2001</v>
      </c>
      <c r="C365" s="390" t="s">
        <v>1998</v>
      </c>
      <c r="D365" s="299">
        <v>8688629</v>
      </c>
      <c r="E365" s="292" t="s">
        <v>19</v>
      </c>
      <c r="F365" s="292" t="s">
        <v>66</v>
      </c>
      <c r="G365" s="292" t="s">
        <v>67</v>
      </c>
      <c r="H365" s="293" t="str">
        <f>IFERROR(VLOOKUP(G365,'Cadastro de assessores'!A:B,2,FALSE),"Não Cadastrado")</f>
        <v>18890</v>
      </c>
      <c r="I365" s="293"/>
      <c r="J365" s="24" t="s">
        <v>3796</v>
      </c>
      <c r="K365" s="292" t="s">
        <v>134</v>
      </c>
      <c r="L365" s="387">
        <v>44712</v>
      </c>
      <c r="M365" s="387">
        <v>44714</v>
      </c>
      <c r="N365" s="292"/>
      <c r="O365" s="292" t="s">
        <v>4473</v>
      </c>
      <c r="P365" s="388">
        <v>1.2E-2</v>
      </c>
      <c r="Q365" s="420" t="s">
        <v>3916</v>
      </c>
      <c r="R365" s="417"/>
      <c r="S365" s="292"/>
      <c r="T365" s="292" t="s">
        <v>127</v>
      </c>
      <c r="U365" s="292" t="s">
        <v>3849</v>
      </c>
      <c r="V365" s="292" t="s">
        <v>66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2940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3793</v>
      </c>
      <c r="B366" s="104" t="s">
        <v>2006</v>
      </c>
      <c r="C366" s="122" t="s">
        <v>2003</v>
      </c>
      <c r="D366" s="292">
        <v>9268978</v>
      </c>
      <c r="E366" s="293" t="s">
        <v>19</v>
      </c>
      <c r="F366" s="293" t="s">
        <v>66</v>
      </c>
      <c r="G366" s="293" t="s">
        <v>144</v>
      </c>
      <c r="H366" s="293">
        <f>IFERROR(VLOOKUP(G366,'Cadastro de assessores'!A:B,2,FALSE),"Não Cadastrado")</f>
        <v>12331</v>
      </c>
      <c r="I366" s="293"/>
      <c r="J366" s="24" t="s">
        <v>3796</v>
      </c>
      <c r="K366" s="292"/>
      <c r="L366" s="387">
        <v>44826</v>
      </c>
      <c r="M366" s="387">
        <v>44832</v>
      </c>
      <c r="N366" s="292"/>
      <c r="O366" s="292" t="s">
        <v>3810</v>
      </c>
      <c r="P366" s="388">
        <v>0.01</v>
      </c>
      <c r="Q366" s="420" t="s">
        <v>4894</v>
      </c>
      <c r="R366" s="417"/>
      <c r="S366" s="292"/>
      <c r="T366" s="292"/>
      <c r="U366" s="292"/>
      <c r="V366" s="292" t="s">
        <v>66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3793</v>
      </c>
      <c r="B367" s="104" t="s">
        <v>4895</v>
      </c>
      <c r="C367" s="122" t="s">
        <v>4896</v>
      </c>
      <c r="D367" s="292">
        <v>4488691</v>
      </c>
      <c r="E367" s="293" t="s">
        <v>19</v>
      </c>
      <c r="F367" s="293" t="s">
        <v>20</v>
      </c>
      <c r="G367" s="293" t="s">
        <v>3801</v>
      </c>
      <c r="H367" s="293" t="str">
        <f>IFERROR(VLOOKUP(G367,'Cadastro de assessores'!A:B,2,FALSE),"Não Cadastrado")</f>
        <v>17679</v>
      </c>
      <c r="I367" s="293"/>
      <c r="J367" s="24" t="s">
        <v>3796</v>
      </c>
      <c r="K367" s="292" t="s">
        <v>145</v>
      </c>
      <c r="L367" s="292" t="s">
        <v>3154</v>
      </c>
      <c r="M367" s="436" t="s">
        <v>4185</v>
      </c>
      <c r="N367" s="292"/>
      <c r="O367" s="292" t="s">
        <v>3813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127</v>
      </c>
      <c r="U367" s="292" t="s">
        <v>3819</v>
      </c>
      <c r="V367" s="292" t="s">
        <v>20</v>
      </c>
      <c r="W367" s="418" t="s">
        <v>3806</v>
      </c>
      <c r="X367" s="418" t="s">
        <v>3806</v>
      </c>
      <c r="Y367" s="418" t="s">
        <v>3806</v>
      </c>
      <c r="Z367" s="418" t="s">
        <v>3806</v>
      </c>
      <c r="AA367" s="418" t="s">
        <v>3806</v>
      </c>
      <c r="AB367" s="418" t="s">
        <v>3806</v>
      </c>
      <c r="AC367" s="418" t="s">
        <v>3806</v>
      </c>
      <c r="AD367" s="418" t="s">
        <v>3806</v>
      </c>
      <c r="AE367" s="418" t="s">
        <v>3806</v>
      </c>
      <c r="AF367" s="418" t="s">
        <v>3806</v>
      </c>
      <c r="AG367" s="418" t="s">
        <v>3806</v>
      </c>
      <c r="AH367" s="418" t="s">
        <v>3806</v>
      </c>
      <c r="AI367" s="418" t="s">
        <v>3806</v>
      </c>
      <c r="AJ367" s="418" t="s">
        <v>3806</v>
      </c>
      <c r="AK367" s="339" t="s">
        <v>3154</v>
      </c>
      <c r="AL367" s="339"/>
      <c r="AM367" s="339" t="s">
        <v>3154</v>
      </c>
      <c r="AN367" s="339" t="s">
        <v>3154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2940</v>
      </c>
      <c r="BE367" s="339" t="s">
        <v>2940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3793</v>
      </c>
      <c r="B368" s="104" t="s">
        <v>2029</v>
      </c>
      <c r="C368" s="122" t="s">
        <v>4897</v>
      </c>
      <c r="D368" s="422">
        <v>3247402</v>
      </c>
      <c r="E368" s="293" t="s">
        <v>19</v>
      </c>
      <c r="F368" s="293" t="s">
        <v>66</v>
      </c>
      <c r="G368" s="293" t="s">
        <v>144</v>
      </c>
      <c r="H368" s="426">
        <f>IFERROR(VLOOKUP(G368,'Cadastro de assessores'!A:B,2,FALSE),"Não Cadastrado")</f>
        <v>12331</v>
      </c>
      <c r="I368" s="426"/>
      <c r="J368" s="24" t="s">
        <v>3796</v>
      </c>
      <c r="K368" s="293" t="s">
        <v>134</v>
      </c>
      <c r="L368" s="415">
        <v>44673</v>
      </c>
      <c r="M368" s="415">
        <v>44673</v>
      </c>
      <c r="N368" s="299"/>
      <c r="O368" s="299" t="s">
        <v>3813</v>
      </c>
      <c r="P368" s="388">
        <v>1.2E-2</v>
      </c>
      <c r="Q368" s="311" t="s">
        <v>4898</v>
      </c>
      <c r="R368" s="417"/>
      <c r="S368" s="292" t="str">
        <f t="shared" si="38"/>
        <v>Não Qualificado</v>
      </c>
      <c r="T368" s="292" t="s">
        <v>127</v>
      </c>
      <c r="U368" s="299" t="s">
        <v>3849</v>
      </c>
      <c r="V368" s="292" t="s">
        <v>66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3793</v>
      </c>
      <c r="B369" s="104" t="s">
        <v>2044</v>
      </c>
      <c r="C369" s="390" t="s">
        <v>4899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3796</v>
      </c>
      <c r="K369" s="293" t="s">
        <v>134</v>
      </c>
      <c r="L369" s="415">
        <v>44404</v>
      </c>
      <c r="M369" s="415">
        <v>44404</v>
      </c>
      <c r="N369" s="292"/>
      <c r="O369" s="292" t="s">
        <v>3813</v>
      </c>
      <c r="P369" s="388">
        <v>1.2E-2</v>
      </c>
      <c r="Q369" s="167" t="s">
        <v>4900</v>
      </c>
      <c r="R369" s="417"/>
      <c r="S369" s="292" t="str">
        <f t="shared" si="38"/>
        <v>Não Qualificado</v>
      </c>
      <c r="T369" s="292" t="s">
        <v>127</v>
      </c>
      <c r="U369" s="299" t="s">
        <v>3840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3793</v>
      </c>
      <c r="B370" s="104" t="s">
        <v>4901</v>
      </c>
      <c r="C370" s="390" t="s">
        <v>4902</v>
      </c>
      <c r="D370" s="299">
        <v>3081966</v>
      </c>
      <c r="E370" s="293" t="s">
        <v>19</v>
      </c>
      <c r="F370" s="293" t="s">
        <v>20</v>
      </c>
      <c r="G370" s="293" t="s">
        <v>437</v>
      </c>
      <c r="H370" s="299" t="str">
        <f>IFERROR(VLOOKUP(G370,'Cadastro de assessores'!A:B,2,FALSE),"Não Cadastrado")</f>
        <v>18993</v>
      </c>
      <c r="I370" s="299"/>
      <c r="J370" s="24" t="s">
        <v>3796</v>
      </c>
      <c r="K370" s="293" t="s">
        <v>134</v>
      </c>
      <c r="L370" s="416">
        <v>44488</v>
      </c>
      <c r="M370" s="416">
        <v>44498</v>
      </c>
      <c r="N370" s="299"/>
      <c r="O370" s="299" t="s">
        <v>3810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127</v>
      </c>
      <c r="U370" s="299" t="s">
        <v>4057</v>
      </c>
      <c r="V370" s="292" t="s">
        <v>878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3793</v>
      </c>
      <c r="B371" s="104" t="s">
        <v>4903</v>
      </c>
      <c r="C371" s="104" t="s">
        <v>4904</v>
      </c>
      <c r="D371" s="293">
        <v>4848711</v>
      </c>
      <c r="E371" s="293" t="s">
        <v>46</v>
      </c>
      <c r="F371" s="293" t="s">
        <v>20</v>
      </c>
      <c r="G371" s="293" t="s">
        <v>4075</v>
      </c>
      <c r="H371" s="293" t="str">
        <f>IFERROR(VLOOKUP(G371,'Cadastro de assessores'!A:B,2,FALSE),"Não Cadastrado")</f>
        <v>15049</v>
      </c>
      <c r="I371" s="293"/>
      <c r="J371" s="24" t="s">
        <v>3796</v>
      </c>
      <c r="K371" s="293" t="s">
        <v>134</v>
      </c>
      <c r="L371" s="415">
        <v>44236</v>
      </c>
      <c r="M371" s="415">
        <v>44236</v>
      </c>
      <c r="N371" s="292"/>
      <c r="O371" s="292" t="s">
        <v>3813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127</v>
      </c>
      <c r="U371" s="292" t="s">
        <v>3819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3806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3793</v>
      </c>
      <c r="B372" s="104" t="s">
        <v>3674</v>
      </c>
      <c r="C372" s="122" t="s">
        <v>3672</v>
      </c>
      <c r="D372" s="292">
        <v>3064790</v>
      </c>
      <c r="E372" s="292" t="s">
        <v>19</v>
      </c>
      <c r="F372" s="292" t="s">
        <v>20</v>
      </c>
      <c r="G372" s="292" t="s">
        <v>791</v>
      </c>
      <c r="H372" s="292" t="str">
        <f>IFERROR(VLOOKUP(G372,'Cadastro de assessores'!A:B,2,FALSE),"Não Cadastrado")</f>
        <v>18467</v>
      </c>
      <c r="I372" s="292"/>
      <c r="J372" s="24" t="s">
        <v>125</v>
      </c>
      <c r="K372" s="292" t="s">
        <v>3802</v>
      </c>
      <c r="L372" s="387">
        <v>43699</v>
      </c>
      <c r="M372" s="387">
        <v>43699</v>
      </c>
      <c r="N372" s="292"/>
      <c r="O372" s="292" t="s">
        <v>3803</v>
      </c>
      <c r="P372" s="388">
        <v>1.4999999999999999E-2</v>
      </c>
      <c r="Q372" s="420" t="s">
        <v>4905</v>
      </c>
      <c r="R372" s="417"/>
      <c r="S372" s="292" t="str">
        <f t="shared" si="38"/>
        <v>Não Qualificado</v>
      </c>
      <c r="T372" s="292" t="s">
        <v>127</v>
      </c>
      <c r="U372" s="292" t="s">
        <v>3975</v>
      </c>
      <c r="V372" s="292" t="s">
        <v>66</v>
      </c>
      <c r="W372" s="418" t="s">
        <v>4906</v>
      </c>
      <c r="X372" s="418"/>
      <c r="Y372" s="418" t="s">
        <v>4907</v>
      </c>
      <c r="Z372" s="418" t="s">
        <v>3806</v>
      </c>
      <c r="AA372" s="418" t="s">
        <v>3806</v>
      </c>
      <c r="AB372" s="418" t="s">
        <v>3806</v>
      </c>
      <c r="AC372" s="418" t="s">
        <v>3806</v>
      </c>
      <c r="AD372" s="418" t="s">
        <v>3806</v>
      </c>
      <c r="AE372" s="418" t="s">
        <v>3806</v>
      </c>
      <c r="AF372" s="418" t="s">
        <v>3806</v>
      </c>
      <c r="AG372" s="418" t="s">
        <v>3806</v>
      </c>
      <c r="AH372" s="418"/>
      <c r="AI372" s="418"/>
      <c r="AJ372" s="418"/>
      <c r="AK372" s="339"/>
      <c r="AL372" s="339"/>
      <c r="AM372" s="339" t="s">
        <v>3154</v>
      </c>
      <c r="AN372" s="339" t="s">
        <v>3154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2940</v>
      </c>
      <c r="BE372" s="339" t="s">
        <v>2940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3793</v>
      </c>
      <c r="B373" s="104" t="s">
        <v>2053</v>
      </c>
      <c r="C373" s="441" t="s">
        <v>4908</v>
      </c>
      <c r="D373" s="422">
        <v>188081</v>
      </c>
      <c r="E373" s="293" t="s">
        <v>19</v>
      </c>
      <c r="F373" s="293" t="s">
        <v>20</v>
      </c>
      <c r="G373" s="293" t="s">
        <v>184</v>
      </c>
      <c r="H373" s="292">
        <f>IFERROR(VLOOKUP(G373,'Cadastro de assessores'!A:B,2,FALSE),"Não Cadastrado")</f>
        <v>12332</v>
      </c>
      <c r="I373" s="292"/>
      <c r="J373" s="24" t="s">
        <v>3796</v>
      </c>
      <c r="K373" s="293" t="s">
        <v>134</v>
      </c>
      <c r="L373" s="387">
        <v>44770</v>
      </c>
      <c r="M373" s="387">
        <v>44774</v>
      </c>
      <c r="N373" s="292"/>
      <c r="O373" s="292" t="s">
        <v>3810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3793</v>
      </c>
      <c r="B374" s="104" t="s">
        <v>2058</v>
      </c>
      <c r="C374" s="441" t="s">
        <v>2055</v>
      </c>
      <c r="D374" s="422">
        <v>2834519</v>
      </c>
      <c r="E374" s="293" t="s">
        <v>19</v>
      </c>
      <c r="F374" s="293" t="s">
        <v>66</v>
      </c>
      <c r="G374" s="293" t="s">
        <v>144</v>
      </c>
      <c r="H374" s="426">
        <f>IFERROR(VLOOKUP(G374,'Cadastro de assessores'!A:B,2,FALSE),"Não Cadastrado")</f>
        <v>12331</v>
      </c>
      <c r="I374" s="426"/>
      <c r="J374" s="24" t="s">
        <v>3796</v>
      </c>
      <c r="K374" s="293" t="s">
        <v>134</v>
      </c>
      <c r="L374" s="387">
        <v>44596</v>
      </c>
      <c r="M374" s="387">
        <v>44614</v>
      </c>
      <c r="N374" s="292"/>
      <c r="O374" s="292" t="s">
        <v>3803</v>
      </c>
      <c r="P374" s="388">
        <v>1.4999999999999999E-2</v>
      </c>
      <c r="Q374" s="420" t="s">
        <v>4909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127</v>
      </c>
      <c r="U374" s="292" t="s">
        <v>3849</v>
      </c>
      <c r="V374" s="292" t="s">
        <v>66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3793</v>
      </c>
      <c r="B375" s="104">
        <v>7312126650</v>
      </c>
      <c r="C375" s="122" t="s">
        <v>4910</v>
      </c>
      <c r="D375" s="292">
        <v>4854627</v>
      </c>
      <c r="E375" s="292" t="s">
        <v>19</v>
      </c>
      <c r="F375" s="292" t="s">
        <v>66</v>
      </c>
      <c r="G375" s="292" t="s">
        <v>316</v>
      </c>
      <c r="H375" s="292" t="str">
        <f>IFERROR(VLOOKUP(G375,'Cadastro de assessores'!A:B,2,FALSE),"Não Cadastrado")</f>
        <v>18009</v>
      </c>
      <c r="I375" s="292"/>
      <c r="J375" s="24" t="s">
        <v>125</v>
      </c>
      <c r="K375" s="292" t="s">
        <v>3802</v>
      </c>
      <c r="L375" s="387">
        <v>44237</v>
      </c>
      <c r="M375" s="387">
        <v>44237</v>
      </c>
      <c r="N375" s="387">
        <v>44613</v>
      </c>
      <c r="O375" s="292" t="s">
        <v>3803</v>
      </c>
      <c r="P375" s="388">
        <v>1.4999999999999999E-2</v>
      </c>
      <c r="Q375" s="420" t="s">
        <v>4911</v>
      </c>
      <c r="R375" s="417"/>
      <c r="S375" s="292" t="str">
        <f t="shared" si="39"/>
        <v/>
      </c>
      <c r="T375" s="292" t="s">
        <v>127</v>
      </c>
      <c r="U375" s="292" t="s">
        <v>3854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2940</v>
      </c>
      <c r="BE375" s="339" t="s">
        <v>2940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3793</v>
      </c>
      <c r="B376" s="104" t="s">
        <v>4912</v>
      </c>
      <c r="C376" s="390" t="s">
        <v>4913</v>
      </c>
      <c r="D376" s="299">
        <v>5378763</v>
      </c>
      <c r="E376" s="292" t="s">
        <v>19</v>
      </c>
      <c r="F376" s="292" t="s">
        <v>66</v>
      </c>
      <c r="G376" s="292" t="s">
        <v>316</v>
      </c>
      <c r="H376" s="292" t="str">
        <f>IFERROR(VLOOKUP(G376,'Cadastro de assessores'!A:B,2,FALSE),"Não Cadastrado")</f>
        <v>18009</v>
      </c>
      <c r="I376" s="292"/>
      <c r="J376" s="24" t="s">
        <v>125</v>
      </c>
      <c r="K376" s="292" t="s">
        <v>3802</v>
      </c>
      <c r="L376" s="292" t="s">
        <v>3154</v>
      </c>
      <c r="M376" s="292" t="s">
        <v>3154</v>
      </c>
      <c r="N376" s="387">
        <v>44619</v>
      </c>
      <c r="O376" s="292" t="s">
        <v>3817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127</v>
      </c>
      <c r="U376" s="292" t="s">
        <v>3854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2940</v>
      </c>
      <c r="BE376" s="339" t="s">
        <v>2940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3793</v>
      </c>
      <c r="B377" s="104" t="s">
        <v>4914</v>
      </c>
      <c r="C377" s="390" t="s">
        <v>4915</v>
      </c>
      <c r="D377" s="299">
        <v>5947531</v>
      </c>
      <c r="E377" s="293" t="s">
        <v>19</v>
      </c>
      <c r="F377" s="293" t="s">
        <v>66</v>
      </c>
      <c r="G377" s="293" t="s">
        <v>316</v>
      </c>
      <c r="H377" s="293" t="str">
        <f>IFERROR(VLOOKUP(G377,'Cadastro de assessores'!A:B,2,FALSE),"Não Cadastrado")</f>
        <v>18009</v>
      </c>
      <c r="I377" s="293"/>
      <c r="J377" s="24" t="s">
        <v>3796</v>
      </c>
      <c r="K377" s="292" t="s">
        <v>145</v>
      </c>
      <c r="L377" s="292" t="s">
        <v>3154</v>
      </c>
      <c r="M377" s="436" t="s">
        <v>4185</v>
      </c>
      <c r="N377" s="299"/>
      <c r="O377" s="299" t="s">
        <v>3817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127</v>
      </c>
      <c r="U377" s="292" t="s">
        <v>3854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2940</v>
      </c>
      <c r="BE377" s="339" t="s">
        <v>2940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3793</v>
      </c>
      <c r="B378" s="104" t="s">
        <v>4916</v>
      </c>
      <c r="C378" s="390" t="s">
        <v>4917</v>
      </c>
      <c r="D378" s="299">
        <v>5655163</v>
      </c>
      <c r="E378" s="292" t="s">
        <v>19</v>
      </c>
      <c r="F378" s="292" t="s">
        <v>66</v>
      </c>
      <c r="G378" s="292" t="s">
        <v>316</v>
      </c>
      <c r="H378" s="292" t="str">
        <f>IFERROR(VLOOKUP(G378,'Cadastro de assessores'!A:B,2,FALSE),"Não Cadastrado")</f>
        <v>18009</v>
      </c>
      <c r="I378" s="292"/>
      <c r="J378" s="24" t="s">
        <v>125</v>
      </c>
      <c r="K378" s="292" t="s">
        <v>3802</v>
      </c>
      <c r="L378" s="387"/>
      <c r="M378" s="387">
        <v>44369</v>
      </c>
      <c r="N378" s="447">
        <v>44545</v>
      </c>
      <c r="O378" s="299" t="s">
        <v>3817</v>
      </c>
      <c r="P378" s="388">
        <v>2.5000000000000001E-2</v>
      </c>
      <c r="Q378" s="440" t="s">
        <v>4918</v>
      </c>
      <c r="R378" s="417"/>
      <c r="S378" s="292" t="str">
        <f t="shared" si="39"/>
        <v>Não Qualificado</v>
      </c>
      <c r="T378" s="292" t="s">
        <v>127</v>
      </c>
      <c r="U378" s="307" t="s">
        <v>4919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2940</v>
      </c>
      <c r="BE378" s="339" t="s">
        <v>2940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3793</v>
      </c>
      <c r="B379" s="104" t="s">
        <v>4920</v>
      </c>
      <c r="C379" s="441" t="s">
        <v>4921</v>
      </c>
      <c r="D379" s="426">
        <v>7048589</v>
      </c>
      <c r="E379" s="293" t="s">
        <v>19</v>
      </c>
      <c r="F379" s="293" t="s">
        <v>66</v>
      </c>
      <c r="G379" s="293" t="s">
        <v>265</v>
      </c>
      <c r="H379" s="293" t="str">
        <f>IFERROR(VLOOKUP(G379,'Cadastro de assessores'!A:B,2,FALSE),"Não Cadastrado")</f>
        <v>17831</v>
      </c>
      <c r="I379" s="293"/>
      <c r="J379" s="24" t="s">
        <v>3796</v>
      </c>
      <c r="K379" s="292" t="s">
        <v>134</v>
      </c>
      <c r="L379" s="415">
        <v>44508</v>
      </c>
      <c r="M379" s="415">
        <v>44508</v>
      </c>
      <c r="N379" s="299"/>
      <c r="O379" s="299" t="s">
        <v>3813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127</v>
      </c>
      <c r="U379" s="292" t="s">
        <v>3975</v>
      </c>
      <c r="V379" s="292" t="s">
        <v>66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3793</v>
      </c>
      <c r="B380" s="104" t="s">
        <v>4922</v>
      </c>
      <c r="C380" s="441" t="s">
        <v>4923</v>
      </c>
      <c r="D380" s="293">
        <v>3502759</v>
      </c>
      <c r="E380" s="293" t="s">
        <v>19</v>
      </c>
      <c r="F380" s="293" t="s">
        <v>66</v>
      </c>
      <c r="G380" s="293" t="s">
        <v>144</v>
      </c>
      <c r="H380" s="293"/>
      <c r="I380" s="293"/>
      <c r="J380" s="24" t="s">
        <v>3796</v>
      </c>
      <c r="K380" s="292"/>
      <c r="L380" s="416"/>
      <c r="M380" s="293"/>
      <c r="N380" s="299"/>
      <c r="O380" s="299" t="s">
        <v>3803</v>
      </c>
      <c r="P380" s="388">
        <v>1.4999999999999999E-2</v>
      </c>
      <c r="Q380" s="167"/>
      <c r="R380" s="417"/>
      <c r="S380" s="292"/>
      <c r="T380" s="292"/>
      <c r="U380" s="299"/>
      <c r="V380" s="292" t="s">
        <v>66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3793</v>
      </c>
      <c r="B381" s="104" t="s">
        <v>4924</v>
      </c>
      <c r="C381" s="441" t="s">
        <v>4925</v>
      </c>
      <c r="D381" s="293">
        <v>9281869</v>
      </c>
      <c r="E381" s="293" t="s">
        <v>19</v>
      </c>
      <c r="F381" s="293" t="s">
        <v>35</v>
      </c>
      <c r="G381" s="293" t="s">
        <v>4926</v>
      </c>
      <c r="H381" s="293">
        <f>IFERROR(VLOOKUP(G381,'Cadastro de assessores'!A:B,2,FALSE),"Não Cadastrado")</f>
        <v>12360</v>
      </c>
      <c r="I381" s="293"/>
      <c r="J381" s="24" t="s">
        <v>125</v>
      </c>
      <c r="K381" s="292"/>
      <c r="L381" s="416">
        <v>44831</v>
      </c>
      <c r="M381" s="416">
        <v>44831</v>
      </c>
      <c r="N381" s="299"/>
      <c r="O381" s="299" t="s">
        <v>3817</v>
      </c>
      <c r="P381" s="388">
        <v>2.5000000000000001E-2</v>
      </c>
      <c r="Q381" s="167" t="s">
        <v>4927</v>
      </c>
      <c r="R381" s="417"/>
      <c r="S381" s="292"/>
      <c r="T381" s="292"/>
      <c r="U381" s="299"/>
      <c r="V381" s="292" t="s">
        <v>66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3793</v>
      </c>
      <c r="B382" s="104" t="s">
        <v>2077</v>
      </c>
      <c r="C382" s="441" t="s">
        <v>2075</v>
      </c>
      <c r="D382" s="293">
        <v>4006849</v>
      </c>
      <c r="E382" s="293" t="s">
        <v>19</v>
      </c>
      <c r="F382" s="293" t="s">
        <v>66</v>
      </c>
      <c r="G382" s="293" t="s">
        <v>316</v>
      </c>
      <c r="H382" s="293" t="str">
        <f>IFERROR(VLOOKUP(G382,'Cadastro de assessores'!A:B,2,FALSE),"Não Cadastrado")</f>
        <v>18009</v>
      </c>
      <c r="I382" s="293"/>
      <c r="J382" s="24" t="s">
        <v>3796</v>
      </c>
      <c r="K382" s="292" t="s">
        <v>134</v>
      </c>
      <c r="L382" s="416">
        <v>44517</v>
      </c>
      <c r="M382" s="416">
        <v>44517</v>
      </c>
      <c r="N382" s="299"/>
      <c r="O382" s="299" t="s">
        <v>3803</v>
      </c>
      <c r="P382" s="388">
        <v>1.4999999999999999E-2</v>
      </c>
      <c r="Q382" s="167" t="s">
        <v>4084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127</v>
      </c>
      <c r="U382" s="299" t="s">
        <v>4085</v>
      </c>
      <c r="V382" s="292" t="s">
        <v>66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3793</v>
      </c>
      <c r="B383" s="104" t="s">
        <v>4928</v>
      </c>
      <c r="C383" s="122" t="s">
        <v>4929</v>
      </c>
      <c r="D383" s="292">
        <v>4017894</v>
      </c>
      <c r="E383" s="292" t="s">
        <v>19</v>
      </c>
      <c r="F383" s="292" t="s">
        <v>20</v>
      </c>
      <c r="G383" s="292" t="s">
        <v>4309</v>
      </c>
      <c r="H383" s="292" t="str">
        <f>IFERROR(VLOOKUP(G383,'Cadastro de assessores'!A:B,2,FALSE),"Não Cadastrado")</f>
        <v>12846</v>
      </c>
      <c r="I383" s="292"/>
      <c r="J383" s="24" t="s">
        <v>125</v>
      </c>
      <c r="K383" s="292" t="s">
        <v>3802</v>
      </c>
      <c r="L383" s="387"/>
      <c r="M383" s="387">
        <v>44291</v>
      </c>
      <c r="N383" s="387">
        <v>44378</v>
      </c>
      <c r="O383" s="292" t="s">
        <v>3817</v>
      </c>
      <c r="P383" s="388">
        <v>0.01</v>
      </c>
      <c r="Q383" s="420" t="s">
        <v>4310</v>
      </c>
      <c r="R383" s="417"/>
      <c r="S383" s="292" t="str">
        <f t="shared" si="40"/>
        <v>Não Qualificado</v>
      </c>
      <c r="T383" s="292" t="s">
        <v>127</v>
      </c>
      <c r="U383" s="292" t="s">
        <v>3975</v>
      </c>
      <c r="V383" s="292" t="s">
        <v>66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2940</v>
      </c>
      <c r="BE383" s="339" t="s">
        <v>2940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3793</v>
      </c>
      <c r="B384" s="104" t="s">
        <v>3087</v>
      </c>
      <c r="C384" s="122" t="s">
        <v>4930</v>
      </c>
      <c r="D384" s="292">
        <v>2172838</v>
      </c>
      <c r="E384" s="292" t="s">
        <v>19</v>
      </c>
      <c r="F384" s="292" t="s">
        <v>20</v>
      </c>
      <c r="G384" s="292" t="s">
        <v>3080</v>
      </c>
      <c r="H384" s="292" t="str">
        <f>IFERROR(VLOOKUP(G384,'Cadastro de assessores'!A:B,2,FALSE),"Não Cadastrado")</f>
        <v>18236</v>
      </c>
      <c r="I384" s="292"/>
      <c r="J384" s="24" t="s">
        <v>125</v>
      </c>
      <c r="K384" s="292" t="s">
        <v>3802</v>
      </c>
      <c r="L384" s="387"/>
      <c r="M384" s="387">
        <v>43671</v>
      </c>
      <c r="N384" s="292" t="s">
        <v>3899</v>
      </c>
      <c r="O384" s="292" t="s">
        <v>3817</v>
      </c>
      <c r="P384" s="388">
        <v>1E-4</v>
      </c>
      <c r="Q384" s="167" t="s">
        <v>3900</v>
      </c>
      <c r="R384" s="417"/>
      <c r="S384" s="292" t="str">
        <f t="shared" si="40"/>
        <v>Não Qualificado</v>
      </c>
      <c r="T384" s="292" t="s">
        <v>171</v>
      </c>
      <c r="U384" s="292" t="s">
        <v>3819</v>
      </c>
      <c r="V384" s="292" t="s">
        <v>20</v>
      </c>
      <c r="W384" s="418" t="s">
        <v>4931</v>
      </c>
      <c r="X384" s="418"/>
      <c r="Y384" s="418" t="s">
        <v>4932</v>
      </c>
      <c r="Z384" s="418" t="s">
        <v>3806</v>
      </c>
      <c r="AA384" s="418" t="s">
        <v>3806</v>
      </c>
      <c r="AB384" s="418" t="s">
        <v>3806</v>
      </c>
      <c r="AC384" s="418" t="s">
        <v>3806</v>
      </c>
      <c r="AD384" s="418" t="s">
        <v>3806</v>
      </c>
      <c r="AE384" s="418" t="s">
        <v>3806</v>
      </c>
      <c r="AF384" s="418" t="s">
        <v>3806</v>
      </c>
      <c r="AG384" s="418" t="s">
        <v>3806</v>
      </c>
      <c r="AH384" s="418"/>
      <c r="AI384" s="418" t="s">
        <v>3806</v>
      </c>
      <c r="AJ384" s="418"/>
      <c r="AK384" s="339"/>
      <c r="AL384" s="339"/>
      <c r="AM384" s="339" t="s">
        <v>3154</v>
      </c>
      <c r="AN384" s="339" t="s">
        <v>3154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2940</v>
      </c>
      <c r="BE384" s="339" t="s">
        <v>2940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3793</v>
      </c>
      <c r="B385" s="104" t="s">
        <v>4933</v>
      </c>
      <c r="C385" s="122" t="s">
        <v>4934</v>
      </c>
      <c r="D385" s="292">
        <v>6683617</v>
      </c>
      <c r="E385" s="292" t="s">
        <v>19</v>
      </c>
      <c r="F385" s="292" t="s">
        <v>66</v>
      </c>
      <c r="G385" s="292" t="s">
        <v>316</v>
      </c>
      <c r="H385" s="292" t="str">
        <f>IFERROR(VLOOKUP(G385,'Cadastro de assessores'!A:B,2,FALSE),"Não Cadastrado")</f>
        <v>18009</v>
      </c>
      <c r="I385" s="292"/>
      <c r="J385" s="24" t="s">
        <v>125</v>
      </c>
      <c r="K385" s="292" t="s">
        <v>3802</v>
      </c>
      <c r="L385" s="387"/>
      <c r="M385" s="387">
        <v>44463</v>
      </c>
      <c r="N385" s="387">
        <v>44678</v>
      </c>
      <c r="O385" s="292" t="s">
        <v>4027</v>
      </c>
      <c r="P385" s="388">
        <v>0.02</v>
      </c>
      <c r="Q385" s="167" t="s">
        <v>4935</v>
      </c>
      <c r="R385" s="417"/>
      <c r="S385" s="292" t="str">
        <f t="shared" si="40"/>
        <v>Não Qualificado</v>
      </c>
      <c r="T385" s="292" t="s">
        <v>127</v>
      </c>
      <c r="U385" s="299" t="s">
        <v>4936</v>
      </c>
      <c r="V385" s="292" t="s">
        <v>3892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2940</v>
      </c>
      <c r="BE385" s="339" t="s">
        <v>2940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3793</v>
      </c>
      <c r="B386" s="104" t="s">
        <v>2096</v>
      </c>
      <c r="C386" s="122" t="s">
        <v>4937</v>
      </c>
      <c r="D386" s="292">
        <v>2587496</v>
      </c>
      <c r="E386" s="292" t="s">
        <v>19</v>
      </c>
      <c r="F386" s="292" t="s">
        <v>66</v>
      </c>
      <c r="G386" s="292" t="s">
        <v>265</v>
      </c>
      <c r="H386" s="292"/>
      <c r="I386" s="292"/>
      <c r="J386" s="24" t="s">
        <v>125</v>
      </c>
      <c r="K386" s="292"/>
      <c r="L386" s="387"/>
      <c r="M386" s="387">
        <v>44861</v>
      </c>
      <c r="N386" s="387"/>
      <c r="O386" s="292" t="s">
        <v>4938</v>
      </c>
      <c r="P386" s="388">
        <v>0.01</v>
      </c>
      <c r="Q386" s="420"/>
      <c r="R386" s="417"/>
      <c r="S386" s="292"/>
      <c r="T386" s="292"/>
      <c r="U386" s="299"/>
      <c r="V386" s="292" t="s">
        <v>66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3793</v>
      </c>
      <c r="B387" s="104" t="s">
        <v>4939</v>
      </c>
      <c r="C387" s="122" t="s">
        <v>4940</v>
      </c>
      <c r="D387" s="292">
        <v>4742129</v>
      </c>
      <c r="E387" s="292" t="s">
        <v>19</v>
      </c>
      <c r="F387" s="292" t="s">
        <v>2054</v>
      </c>
      <c r="G387" s="292" t="s">
        <v>316</v>
      </c>
      <c r="H387" s="292" t="str">
        <f>IFERROR(VLOOKUP(G387,'Cadastro de assessores'!A:B,2,FALSE),"Não Cadastrado")</f>
        <v>18009</v>
      </c>
      <c r="I387" s="292"/>
      <c r="J387" s="24" t="s">
        <v>125</v>
      </c>
      <c r="K387" s="292" t="s">
        <v>3802</v>
      </c>
      <c r="L387" s="387"/>
      <c r="M387" s="387">
        <v>44207</v>
      </c>
      <c r="N387" s="387">
        <v>44648</v>
      </c>
      <c r="O387" s="292" t="s">
        <v>4018</v>
      </c>
      <c r="P387" s="388">
        <v>0.02</v>
      </c>
      <c r="Q387" s="420" t="s">
        <v>4941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127</v>
      </c>
      <c r="U387" s="299" t="s">
        <v>3854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2940</v>
      </c>
      <c r="BE387" s="339" t="s">
        <v>2940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3793</v>
      </c>
      <c r="B388" s="104" t="s">
        <v>4939</v>
      </c>
      <c r="C388" s="122" t="s">
        <v>4940</v>
      </c>
      <c r="D388" s="292">
        <v>4782053</v>
      </c>
      <c r="E388" s="292" t="s">
        <v>19</v>
      </c>
      <c r="F388" s="292" t="s">
        <v>2054</v>
      </c>
      <c r="G388" s="292" t="s">
        <v>316</v>
      </c>
      <c r="H388" s="292" t="str">
        <f>IFERROR(VLOOKUP(G388,'Cadastro de assessores'!A:B,2,FALSE),"Não Cadastrado")</f>
        <v>18009</v>
      </c>
      <c r="I388" s="292"/>
      <c r="J388" s="24" t="s">
        <v>125</v>
      </c>
      <c r="K388" s="292" t="s">
        <v>3802</v>
      </c>
      <c r="L388" s="387"/>
      <c r="M388" s="387">
        <v>44216</v>
      </c>
      <c r="N388" s="387">
        <v>44648</v>
      </c>
      <c r="O388" s="292" t="s">
        <v>3850</v>
      </c>
      <c r="P388" s="388">
        <v>8.0000000000000002E-3</v>
      </c>
      <c r="Q388" s="420" t="s">
        <v>4942</v>
      </c>
      <c r="R388" s="417"/>
      <c r="S388" s="292" t="str">
        <f t="shared" si="41"/>
        <v/>
      </c>
      <c r="T388" s="292" t="s">
        <v>127</v>
      </c>
      <c r="U388" s="299" t="s">
        <v>3854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2940</v>
      </c>
      <c r="BE388" s="339" t="s">
        <v>2940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3793</v>
      </c>
      <c r="B389" s="104" t="s">
        <v>2117</v>
      </c>
      <c r="C389" s="122" t="s">
        <v>4943</v>
      </c>
      <c r="D389" s="293">
        <v>5663320</v>
      </c>
      <c r="E389" s="293" t="s">
        <v>19</v>
      </c>
      <c r="F389" s="293" t="s">
        <v>20</v>
      </c>
      <c r="G389" s="293" t="s">
        <v>4944</v>
      </c>
      <c r="H389" s="293">
        <f>IFERROR(VLOOKUP(G389,'Cadastro de assessores'!A:B,2,FALSE),"Não Cadastrado")</f>
        <v>12338</v>
      </c>
      <c r="I389" s="293"/>
      <c r="J389" s="24" t="s">
        <v>3796</v>
      </c>
      <c r="K389" s="293" t="s">
        <v>134</v>
      </c>
      <c r="L389" s="415">
        <v>44385</v>
      </c>
      <c r="M389" s="415">
        <v>44385</v>
      </c>
      <c r="N389" s="299"/>
      <c r="O389" s="299" t="s">
        <v>3850</v>
      </c>
      <c r="P389" s="388">
        <v>8.0000000000000002E-3</v>
      </c>
      <c r="Q389" s="311" t="s">
        <v>4945</v>
      </c>
      <c r="R389" s="417"/>
      <c r="S389" s="292" t="str">
        <f t="shared" si="41"/>
        <v>Não Qualificado</v>
      </c>
      <c r="T389" s="292" t="s">
        <v>127</v>
      </c>
      <c r="U389" s="299" t="s">
        <v>3824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3793</v>
      </c>
      <c r="B390" s="104" t="s">
        <v>2117</v>
      </c>
      <c r="C390" s="122" t="s">
        <v>4943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3796</v>
      </c>
      <c r="K390" s="293" t="s">
        <v>134</v>
      </c>
      <c r="L390" s="415">
        <v>43741</v>
      </c>
      <c r="M390" s="415">
        <v>43741</v>
      </c>
      <c r="N390" s="292"/>
      <c r="O390" s="292" t="s">
        <v>4502</v>
      </c>
      <c r="P390" s="388">
        <v>7.0000000000000001E-3</v>
      </c>
      <c r="Q390" s="311" t="s">
        <v>4945</v>
      </c>
      <c r="R390" s="417"/>
      <c r="S390" s="292" t="str">
        <f t="shared" si="41"/>
        <v>Não Qualificado</v>
      </c>
      <c r="T390" s="292" t="s">
        <v>127</v>
      </c>
      <c r="U390" s="299" t="s">
        <v>3824</v>
      </c>
      <c r="V390" s="292" t="s">
        <v>20</v>
      </c>
      <c r="W390" s="418" t="s">
        <v>4946</v>
      </c>
      <c r="X390" s="350"/>
      <c r="Y390" s="418" t="s">
        <v>4947</v>
      </c>
      <c r="Z390" s="418" t="s">
        <v>4948</v>
      </c>
      <c r="AA390" s="418" t="s">
        <v>4949</v>
      </c>
      <c r="AB390" s="418" t="s">
        <v>4950</v>
      </c>
      <c r="AC390" s="418" t="s">
        <v>4951</v>
      </c>
      <c r="AD390" s="418" t="s">
        <v>4952</v>
      </c>
      <c r="AE390" s="418" t="s">
        <v>4953</v>
      </c>
      <c r="AF390" s="418" t="s">
        <v>4954</v>
      </c>
      <c r="AG390" s="418" t="s">
        <v>4955</v>
      </c>
      <c r="AH390" s="418" t="s">
        <v>4956</v>
      </c>
      <c r="AI390" s="418" t="s">
        <v>4957</v>
      </c>
      <c r="AJ390" s="418" t="s">
        <v>4958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3793</v>
      </c>
      <c r="B391" s="104" t="s">
        <v>2117</v>
      </c>
      <c r="C391" s="122" t="s">
        <v>4943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3796</v>
      </c>
      <c r="K391" s="292" t="s">
        <v>145</v>
      </c>
      <c r="L391" s="292" t="s">
        <v>3154</v>
      </c>
      <c r="M391" s="436" t="s">
        <v>4185</v>
      </c>
      <c r="N391" s="299"/>
      <c r="O391" s="299" t="s">
        <v>4959</v>
      </c>
      <c r="P391" s="388">
        <v>0.01</v>
      </c>
      <c r="Q391" s="311" t="s">
        <v>4945</v>
      </c>
      <c r="R391" s="417"/>
      <c r="S391" s="292" t="str">
        <f t="shared" si="41"/>
        <v>Não Qualificado</v>
      </c>
      <c r="T391" s="292" t="s">
        <v>127</v>
      </c>
      <c r="U391" s="299" t="s">
        <v>3824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2940</v>
      </c>
      <c r="BE391" s="339" t="s">
        <v>2940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3793</v>
      </c>
      <c r="B392" s="104" t="s">
        <v>2124</v>
      </c>
      <c r="C392" s="441" t="s">
        <v>4960</v>
      </c>
      <c r="D392" s="426">
        <v>7273700</v>
      </c>
      <c r="E392" s="293" t="s">
        <v>19</v>
      </c>
      <c r="F392" s="293" t="s">
        <v>66</v>
      </c>
      <c r="G392" s="426" t="s">
        <v>316</v>
      </c>
      <c r="H392" s="293" t="str">
        <f>IFERROR(VLOOKUP(G392,'Cadastro de assessores'!A:B,2,FALSE),"Não Cadastrado")</f>
        <v>18009</v>
      </c>
      <c r="I392" s="293"/>
      <c r="J392" s="24" t="s">
        <v>3796</v>
      </c>
      <c r="K392" s="293" t="s">
        <v>134</v>
      </c>
      <c r="L392" s="415">
        <v>44532</v>
      </c>
      <c r="M392" s="415">
        <v>44536</v>
      </c>
      <c r="N392" s="426"/>
      <c r="O392" s="426" t="s">
        <v>3810</v>
      </c>
      <c r="P392" s="388">
        <v>7.0000000000000001E-3</v>
      </c>
      <c r="Q392" s="167" t="s">
        <v>4961</v>
      </c>
      <c r="R392" s="417"/>
      <c r="S392" s="292" t="str">
        <f t="shared" si="41"/>
        <v/>
      </c>
      <c r="T392" s="292" t="s">
        <v>171</v>
      </c>
      <c r="U392" s="299" t="s">
        <v>4475</v>
      </c>
      <c r="V392" s="292" t="s">
        <v>66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3793</v>
      </c>
      <c r="B393" s="104" t="s">
        <v>4962</v>
      </c>
      <c r="C393" s="122" t="s">
        <v>4963</v>
      </c>
      <c r="D393" s="292">
        <v>4461414</v>
      </c>
      <c r="E393" s="292" t="s">
        <v>46</v>
      </c>
      <c r="F393" s="292" t="s">
        <v>20</v>
      </c>
      <c r="G393" s="292" t="s">
        <v>3640</v>
      </c>
      <c r="H393" s="292" t="str">
        <f>IFERROR(VLOOKUP(G393,'Cadastro de assessores'!A:B,2,FALSE),"Não Cadastrado")</f>
        <v>14574</v>
      </c>
      <c r="I393" s="292"/>
      <c r="J393" s="24" t="s">
        <v>125</v>
      </c>
      <c r="K393" s="292" t="s">
        <v>3802</v>
      </c>
      <c r="L393" s="387">
        <v>44090</v>
      </c>
      <c r="M393" s="387">
        <v>44090</v>
      </c>
      <c r="N393" s="387">
        <v>44408</v>
      </c>
      <c r="O393" s="292" t="s">
        <v>3813</v>
      </c>
      <c r="P393" s="388">
        <v>1.2E-2</v>
      </c>
      <c r="Q393" s="440" t="s">
        <v>4964</v>
      </c>
      <c r="R393" s="417"/>
      <c r="S393" s="292" t="str">
        <f t="shared" si="41"/>
        <v/>
      </c>
      <c r="T393" s="292" t="s">
        <v>171</v>
      </c>
      <c r="U393" s="292" t="s">
        <v>3811</v>
      </c>
      <c r="V393" s="292" t="s">
        <v>20</v>
      </c>
      <c r="W393" s="418" t="s">
        <v>3806</v>
      </c>
      <c r="X393" s="418" t="s">
        <v>3806</v>
      </c>
      <c r="Y393" s="418" t="s">
        <v>3806</v>
      </c>
      <c r="Z393" s="418" t="s">
        <v>3806</v>
      </c>
      <c r="AA393" s="418" t="s">
        <v>3806</v>
      </c>
      <c r="AB393" s="418" t="s">
        <v>3806</v>
      </c>
      <c r="AC393" s="418" t="s">
        <v>3806</v>
      </c>
      <c r="AD393" s="418" t="s">
        <v>3806</v>
      </c>
      <c r="AE393" s="418" t="s">
        <v>3806</v>
      </c>
      <c r="AF393" s="418" t="s">
        <v>3806</v>
      </c>
      <c r="AG393" s="418" t="s">
        <v>3806</v>
      </c>
      <c r="AH393" s="418" t="s">
        <v>4965</v>
      </c>
      <c r="AI393" s="418" t="s">
        <v>4966</v>
      </c>
      <c r="AJ393" s="418" t="s">
        <v>4967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2940</v>
      </c>
      <c r="BE393" s="339" t="s">
        <v>2940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3793</v>
      </c>
      <c r="B394" s="104" t="s">
        <v>2149</v>
      </c>
      <c r="C394" s="441" t="s">
        <v>2145</v>
      </c>
      <c r="D394" s="422">
        <v>3428496</v>
      </c>
      <c r="E394" s="293" t="s">
        <v>19</v>
      </c>
      <c r="F394" s="293" t="s">
        <v>66</v>
      </c>
      <c r="G394" s="293" t="s">
        <v>144</v>
      </c>
      <c r="H394" s="293">
        <f>IFERROR(VLOOKUP(G394,'Cadastro de assessores'!A:B,2,FALSE),"Não Cadastrado")</f>
        <v>12331</v>
      </c>
      <c r="I394" s="293"/>
      <c r="J394" s="24" t="s">
        <v>3796</v>
      </c>
      <c r="K394" s="293" t="s">
        <v>134</v>
      </c>
      <c r="L394" s="423">
        <v>44613</v>
      </c>
      <c r="M394" s="423">
        <v>44613</v>
      </c>
      <c r="N394" s="306"/>
      <c r="O394" s="426" t="s">
        <v>4024</v>
      </c>
      <c r="P394" s="388">
        <v>1.2E-2</v>
      </c>
      <c r="Q394" s="167" t="s">
        <v>4968</v>
      </c>
      <c r="R394" s="417"/>
      <c r="S394" s="292" t="str">
        <f t="shared" si="41"/>
        <v/>
      </c>
      <c r="T394" s="292" t="s">
        <v>127</v>
      </c>
      <c r="U394" s="292" t="s">
        <v>3849</v>
      </c>
      <c r="V394" s="292" t="s">
        <v>66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3793</v>
      </c>
      <c r="B395" s="104" t="s">
        <v>2149</v>
      </c>
      <c r="C395" s="390" t="s">
        <v>2145</v>
      </c>
      <c r="D395" s="474">
        <v>8088158</v>
      </c>
      <c r="E395" s="292" t="s">
        <v>19</v>
      </c>
      <c r="F395" s="292" t="s">
        <v>66</v>
      </c>
      <c r="G395" s="292" t="s">
        <v>144</v>
      </c>
      <c r="H395" s="292">
        <f>IFERROR(VLOOKUP(G395,'Cadastro de assessores'!A:B,2,FALSE),"Não Cadastrado")</f>
        <v>12331</v>
      </c>
      <c r="I395" s="292"/>
      <c r="J395" s="24" t="s">
        <v>134</v>
      </c>
      <c r="K395" s="292" t="s">
        <v>134</v>
      </c>
      <c r="L395" s="475">
        <v>44682</v>
      </c>
      <c r="M395" s="475">
        <v>44682</v>
      </c>
      <c r="N395" s="292"/>
      <c r="O395" s="292" t="s">
        <v>3919</v>
      </c>
      <c r="P395" s="388">
        <v>8.0000000000000002E-3</v>
      </c>
      <c r="Q395" s="167" t="s">
        <v>4969</v>
      </c>
      <c r="R395" s="417"/>
      <c r="S395" s="292" t="str">
        <f t="shared" si="41"/>
        <v/>
      </c>
      <c r="T395" s="292" t="s">
        <v>127</v>
      </c>
      <c r="U395" s="292" t="s">
        <v>3849</v>
      </c>
      <c r="V395" s="292" t="s">
        <v>66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3793</v>
      </c>
      <c r="B396" s="104" t="s">
        <v>2152</v>
      </c>
      <c r="C396" s="390" t="s">
        <v>4970</v>
      </c>
      <c r="D396" s="293">
        <v>5682953</v>
      </c>
      <c r="E396" s="293" t="s">
        <v>19</v>
      </c>
      <c r="F396" s="293" t="s">
        <v>20</v>
      </c>
      <c r="G396" s="293" t="s">
        <v>3647</v>
      </c>
      <c r="H396" s="293" t="str">
        <f>IFERROR(VLOOKUP(G396,'Cadastro de assessores'!A:B,2,FALSE),"Não Cadastrado")</f>
        <v>14739</v>
      </c>
      <c r="I396" s="293"/>
      <c r="J396" s="24" t="s">
        <v>134</v>
      </c>
      <c r="K396" s="293" t="s">
        <v>134</v>
      </c>
      <c r="L396" s="415">
        <v>44453</v>
      </c>
      <c r="M396" s="415">
        <v>44424</v>
      </c>
      <c r="N396" s="292"/>
      <c r="O396" s="292" t="s">
        <v>3813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127</v>
      </c>
      <c r="U396" s="299" t="s">
        <v>3867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3793</v>
      </c>
      <c r="B397" s="104" t="s">
        <v>4971</v>
      </c>
      <c r="C397" s="122" t="s">
        <v>4972</v>
      </c>
      <c r="D397" s="292">
        <v>4719236</v>
      </c>
      <c r="E397" s="292" t="s">
        <v>19</v>
      </c>
      <c r="F397" s="292" t="s">
        <v>20</v>
      </c>
      <c r="G397" s="292" t="s">
        <v>3801</v>
      </c>
      <c r="H397" s="292" t="str">
        <f>IFERROR(VLOOKUP(G397,'Cadastro de assessores'!A:B,2,FALSE),"Não Cadastrado")</f>
        <v>17679</v>
      </c>
      <c r="I397" s="292"/>
      <c r="J397" s="24" t="s">
        <v>125</v>
      </c>
      <c r="K397" s="292" t="s">
        <v>3802</v>
      </c>
      <c r="L397" s="419">
        <v>44196</v>
      </c>
      <c r="M397" s="419">
        <v>44196</v>
      </c>
      <c r="N397" s="387">
        <v>44428</v>
      </c>
      <c r="O397" s="292" t="s">
        <v>3810</v>
      </c>
      <c r="P397" s="388">
        <v>7.0000000000000001E-3</v>
      </c>
      <c r="Q397" s="420" t="s">
        <v>4973</v>
      </c>
      <c r="R397" s="417"/>
      <c r="S397" s="292" t="str">
        <f t="shared" si="41"/>
        <v>Não Qualificado</v>
      </c>
      <c r="T397" s="292" t="s">
        <v>127</v>
      </c>
      <c r="U397" s="292" t="s">
        <v>4231</v>
      </c>
      <c r="V397" s="292" t="s">
        <v>3653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2940</v>
      </c>
      <c r="BE397" s="339" t="s">
        <v>2940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3793</v>
      </c>
      <c r="B398" s="104" t="s">
        <v>4974</v>
      </c>
      <c r="C398" s="122" t="s">
        <v>4975</v>
      </c>
      <c r="D398" s="292">
        <v>2749522</v>
      </c>
      <c r="E398" s="292" t="s">
        <v>46</v>
      </c>
      <c r="F398" s="292" t="s">
        <v>20</v>
      </c>
      <c r="G398" s="292" t="s">
        <v>3855</v>
      </c>
      <c r="H398" s="292" t="str">
        <f>IFERROR(VLOOKUP(G398,'Cadastro de assessores'!A:B,2,FALSE),"Não Cadastrado")</f>
        <v>12624</v>
      </c>
      <c r="I398" s="292"/>
      <c r="J398" s="24" t="s">
        <v>134</v>
      </c>
      <c r="K398" s="292" t="s">
        <v>134</v>
      </c>
      <c r="L398" s="419">
        <v>44771</v>
      </c>
      <c r="M398" s="419">
        <v>44771</v>
      </c>
      <c r="N398" s="387"/>
      <c r="O398" s="292" t="s">
        <v>3810</v>
      </c>
      <c r="P398" s="388">
        <v>7.0000000000000001E-3</v>
      </c>
      <c r="Q398" s="420"/>
      <c r="R398" s="417"/>
      <c r="S398" s="292"/>
      <c r="T398" s="292" t="s">
        <v>127</v>
      </c>
      <c r="U398" s="292" t="s">
        <v>4186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3793</v>
      </c>
      <c r="B399" s="104" t="s">
        <v>4976</v>
      </c>
      <c r="C399" s="390" t="s">
        <v>4977</v>
      </c>
      <c r="D399" s="292">
        <v>5606475</v>
      </c>
      <c r="E399" s="292" t="s">
        <v>19</v>
      </c>
      <c r="F399" s="292" t="s">
        <v>66</v>
      </c>
      <c r="G399" s="299" t="s">
        <v>4804</v>
      </c>
      <c r="H399" s="299" t="str">
        <f>IFERROR(VLOOKUP(G399,'Cadastro de assessores'!A:B,2,FALSE),"Não Cadastrado")</f>
        <v>1275</v>
      </c>
      <c r="I399" s="299"/>
      <c r="J399" s="24" t="s">
        <v>125</v>
      </c>
      <c r="K399" s="292" t="s">
        <v>3802</v>
      </c>
      <c r="L399" s="387">
        <v>44364</v>
      </c>
      <c r="M399" s="387">
        <v>44364</v>
      </c>
      <c r="N399" s="387">
        <v>44803</v>
      </c>
      <c r="O399" s="292" t="s">
        <v>3803</v>
      </c>
      <c r="P399" s="388">
        <v>1.4999999999999999E-2</v>
      </c>
      <c r="Q399" s="167" t="s">
        <v>4125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127</v>
      </c>
      <c r="U399" s="299" t="s">
        <v>4978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3793</v>
      </c>
      <c r="B400" s="104" t="s">
        <v>4979</v>
      </c>
      <c r="C400" s="122" t="s">
        <v>4980</v>
      </c>
      <c r="D400" s="292">
        <v>2214585</v>
      </c>
      <c r="E400" s="293" t="s">
        <v>46</v>
      </c>
      <c r="F400" s="293" t="s">
        <v>20</v>
      </c>
      <c r="G400" s="293" t="s">
        <v>3981</v>
      </c>
      <c r="H400" s="293" t="str">
        <f>IFERROR(VLOOKUP(G400,'Cadastro de assessores'!A:B,2,FALSE),"Não Cadastrado")</f>
        <v>16459</v>
      </c>
      <c r="I400" s="293"/>
      <c r="J400" s="24" t="s">
        <v>3796</v>
      </c>
      <c r="K400" s="292" t="s">
        <v>134</v>
      </c>
      <c r="L400" s="415">
        <v>44085</v>
      </c>
      <c r="M400" s="415">
        <v>44085</v>
      </c>
      <c r="N400" s="292"/>
      <c r="O400" s="292" t="s">
        <v>3797</v>
      </c>
      <c r="P400" s="388">
        <v>0.02</v>
      </c>
      <c r="Q400" s="167"/>
      <c r="R400" s="417"/>
      <c r="S400" s="292" t="str">
        <f t="shared" si="42"/>
        <v/>
      </c>
      <c r="T400" s="292" t="s">
        <v>127</v>
      </c>
      <c r="U400" s="292" t="s">
        <v>3937</v>
      </c>
      <c r="V400" s="292" t="s">
        <v>20</v>
      </c>
      <c r="W400" s="418" t="s">
        <v>3806</v>
      </c>
      <c r="X400" s="418" t="s">
        <v>3806</v>
      </c>
      <c r="Y400" s="418" t="s">
        <v>3806</v>
      </c>
      <c r="Z400" s="418" t="s">
        <v>3806</v>
      </c>
      <c r="AA400" s="418" t="s">
        <v>3806</v>
      </c>
      <c r="AB400" s="418" t="s">
        <v>3806</v>
      </c>
      <c r="AC400" s="418" t="s">
        <v>3806</v>
      </c>
      <c r="AD400" s="418" t="s">
        <v>3806</v>
      </c>
      <c r="AE400" s="418" t="s">
        <v>3806</v>
      </c>
      <c r="AF400" s="418" t="s">
        <v>3806</v>
      </c>
      <c r="AG400" s="418" t="s">
        <v>3806</v>
      </c>
      <c r="AH400" s="418" t="s">
        <v>4981</v>
      </c>
      <c r="AI400" s="418" t="s">
        <v>4982</v>
      </c>
      <c r="AJ400" s="418" t="s">
        <v>4983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3793</v>
      </c>
      <c r="B401" s="104" t="s">
        <v>4984</v>
      </c>
      <c r="C401" s="122" t="s">
        <v>4985</v>
      </c>
      <c r="D401" s="292">
        <v>4911406</v>
      </c>
      <c r="E401" s="293" t="s">
        <v>46</v>
      </c>
      <c r="F401" s="293" t="s">
        <v>20</v>
      </c>
      <c r="G401" s="293" t="s">
        <v>3640</v>
      </c>
      <c r="H401" s="293" t="str">
        <f>IFERROR(VLOOKUP(G401,'Cadastro de assessores'!A:B,2,FALSE),"Não Cadastrado")</f>
        <v>14574</v>
      </c>
      <c r="I401" s="293"/>
      <c r="J401" s="24" t="s">
        <v>3796</v>
      </c>
      <c r="K401" s="292" t="s">
        <v>145</v>
      </c>
      <c r="L401" s="292" t="s">
        <v>3154</v>
      </c>
      <c r="M401" s="436" t="s">
        <v>3644</v>
      </c>
      <c r="N401" s="299"/>
      <c r="O401" s="299" t="s">
        <v>3850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127</v>
      </c>
      <c r="U401" s="292" t="s">
        <v>3937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3154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2940</v>
      </c>
      <c r="BE401" s="339" t="s">
        <v>2940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3793</v>
      </c>
      <c r="B402" s="104" t="s">
        <v>4984</v>
      </c>
      <c r="C402" s="122" t="s">
        <v>4985</v>
      </c>
      <c r="D402" s="292">
        <v>4886679</v>
      </c>
      <c r="E402" s="292" t="s">
        <v>46</v>
      </c>
      <c r="F402" s="292" t="s">
        <v>20</v>
      </c>
      <c r="G402" s="292" t="s">
        <v>3640</v>
      </c>
      <c r="H402" s="292" t="str">
        <f>IFERROR(VLOOKUP(G402,'Cadastro de assessores'!A:B,2,FALSE),"Não Cadastrado")</f>
        <v>14574</v>
      </c>
      <c r="I402" s="292"/>
      <c r="J402" s="24" t="s">
        <v>125</v>
      </c>
      <c r="K402" s="292" t="s">
        <v>3802</v>
      </c>
      <c r="L402" s="387">
        <v>44256</v>
      </c>
      <c r="M402" s="387">
        <v>44256</v>
      </c>
      <c r="N402" s="387">
        <v>44691</v>
      </c>
      <c r="O402" s="292" t="s">
        <v>3803</v>
      </c>
      <c r="P402" s="388">
        <v>1.4999999999999999E-2</v>
      </c>
      <c r="Q402" s="167" t="s">
        <v>4986</v>
      </c>
      <c r="R402" s="417"/>
      <c r="S402" s="292" t="str">
        <f t="shared" si="42"/>
        <v/>
      </c>
      <c r="T402" s="292" t="s">
        <v>127</v>
      </c>
      <c r="U402" s="292" t="s">
        <v>3937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2940</v>
      </c>
      <c r="BE402" s="339" t="s">
        <v>2940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3793</v>
      </c>
      <c r="B403" s="104" t="s">
        <v>2188</v>
      </c>
      <c r="C403" s="390" t="s">
        <v>2185</v>
      </c>
      <c r="D403" s="299">
        <v>6675462</v>
      </c>
      <c r="E403" s="293" t="s">
        <v>19</v>
      </c>
      <c r="F403" s="293" t="s">
        <v>66</v>
      </c>
      <c r="G403" s="299" t="s">
        <v>67</v>
      </c>
      <c r="H403" s="293" t="str">
        <f>IFERROR(VLOOKUP(G403,'Cadastro de assessores'!A:B,2,FALSE),"Não Cadastrado")</f>
        <v>18890</v>
      </c>
      <c r="I403" s="293"/>
      <c r="J403" s="24" t="s">
        <v>3796</v>
      </c>
      <c r="K403" s="292" t="s">
        <v>134</v>
      </c>
      <c r="L403" s="415">
        <v>44684</v>
      </c>
      <c r="M403" s="415">
        <v>44686</v>
      </c>
      <c r="N403" s="299"/>
      <c r="O403" s="299" t="s">
        <v>3813</v>
      </c>
      <c r="P403" s="388">
        <v>1.2E-2</v>
      </c>
      <c r="Q403" s="167" t="s">
        <v>3916</v>
      </c>
      <c r="R403" s="417"/>
      <c r="S403" s="292" t="str">
        <f t="shared" si="42"/>
        <v>Não Qualificado</v>
      </c>
      <c r="T403" s="292" t="s">
        <v>127</v>
      </c>
      <c r="U403" s="292" t="s">
        <v>3849</v>
      </c>
      <c r="V403" s="292" t="s">
        <v>66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3793</v>
      </c>
      <c r="B404" s="104" t="s">
        <v>3420</v>
      </c>
      <c r="C404" s="122" t="s">
        <v>3419</v>
      </c>
      <c r="D404" s="292">
        <v>4457777</v>
      </c>
      <c r="E404" s="292" t="s">
        <v>2931</v>
      </c>
      <c r="F404" s="292" t="s">
        <v>20</v>
      </c>
      <c r="G404" s="292" t="s">
        <v>2931</v>
      </c>
      <c r="H404" s="292" t="str">
        <f>IFERROR(VLOOKUP(G404,'Cadastro de assessores'!A:B,2,FALSE),"Não Cadastrado")</f>
        <v>18986</v>
      </c>
      <c r="I404" s="292"/>
      <c r="J404" s="24" t="s">
        <v>125</v>
      </c>
      <c r="K404" s="292" t="s">
        <v>3802</v>
      </c>
      <c r="L404" s="419">
        <v>44151</v>
      </c>
      <c r="M404" s="419">
        <v>44151</v>
      </c>
      <c r="N404" s="419">
        <v>44543</v>
      </c>
      <c r="O404" s="292" t="s">
        <v>3803</v>
      </c>
      <c r="P404" s="388">
        <v>1.4999999999999999E-2</v>
      </c>
      <c r="Q404" s="167" t="s">
        <v>4987</v>
      </c>
      <c r="R404" s="417"/>
      <c r="S404" s="292" t="str">
        <f t="shared" si="42"/>
        <v>Não Qualificado</v>
      </c>
      <c r="T404" s="292" t="s">
        <v>127</v>
      </c>
      <c r="U404" s="292" t="s">
        <v>3798</v>
      </c>
      <c r="V404" s="292" t="s">
        <v>66</v>
      </c>
      <c r="W404" s="418" t="s">
        <v>3806</v>
      </c>
      <c r="X404" s="418" t="s">
        <v>3806</v>
      </c>
      <c r="Y404" s="418" t="s">
        <v>3806</v>
      </c>
      <c r="Z404" s="418" t="s">
        <v>3806</v>
      </c>
      <c r="AA404" s="418" t="s">
        <v>3806</v>
      </c>
      <c r="AB404" s="418" t="s">
        <v>3806</v>
      </c>
      <c r="AC404" s="418" t="s">
        <v>3806</v>
      </c>
      <c r="AD404" s="418" t="s">
        <v>3806</v>
      </c>
      <c r="AE404" s="418" t="s">
        <v>3806</v>
      </c>
      <c r="AF404" s="418" t="s">
        <v>3806</v>
      </c>
      <c r="AG404" s="418" t="s">
        <v>3806</v>
      </c>
      <c r="AH404" s="418" t="s">
        <v>3806</v>
      </c>
      <c r="AI404" s="418" t="s">
        <v>3806</v>
      </c>
      <c r="AJ404" s="418" t="s">
        <v>4988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2940</v>
      </c>
      <c r="BE404" s="339" t="s">
        <v>2940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3793</v>
      </c>
      <c r="B405" s="104" t="s">
        <v>2208</v>
      </c>
      <c r="C405" s="441" t="s">
        <v>2205</v>
      </c>
      <c r="D405" s="299">
        <v>7514118</v>
      </c>
      <c r="E405" s="293" t="s">
        <v>19</v>
      </c>
      <c r="F405" s="293" t="s">
        <v>66</v>
      </c>
      <c r="G405" s="426" t="s">
        <v>316</v>
      </c>
      <c r="H405" s="299" t="str">
        <f>IFERROR(VLOOKUP(G405,'Cadastro de assessores'!A:B,2,FALSE),"Não Cadastrado")</f>
        <v>18009</v>
      </c>
      <c r="I405" s="299"/>
      <c r="J405" s="24" t="s">
        <v>3796</v>
      </c>
      <c r="K405" s="292" t="s">
        <v>134</v>
      </c>
      <c r="L405" s="415">
        <v>44564</v>
      </c>
      <c r="M405" s="415">
        <v>44572</v>
      </c>
      <c r="N405" s="299"/>
      <c r="O405" s="299" t="s">
        <v>3810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171</v>
      </c>
      <c r="U405" s="292" t="s">
        <v>3849</v>
      </c>
      <c r="V405" s="292" t="s">
        <v>66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3793</v>
      </c>
      <c r="B406" s="104" t="s">
        <v>2208</v>
      </c>
      <c r="C406" s="390" t="s">
        <v>2205</v>
      </c>
      <c r="D406" s="422">
        <v>7605641</v>
      </c>
      <c r="E406" s="293" t="s">
        <v>19</v>
      </c>
      <c r="F406" s="293" t="s">
        <v>66</v>
      </c>
      <c r="G406" s="426" t="s">
        <v>316</v>
      </c>
      <c r="H406" s="299" t="str">
        <f>IFERROR(VLOOKUP(G406,'Cadastro de assessores'!A:B,2,FALSE),"Não Cadastrado")</f>
        <v>18009</v>
      </c>
      <c r="I406" s="299"/>
      <c r="J406" s="24" t="s">
        <v>3796</v>
      </c>
      <c r="K406" s="292" t="s">
        <v>134</v>
      </c>
      <c r="L406" s="423">
        <v>44669</v>
      </c>
      <c r="M406" s="423">
        <v>44669</v>
      </c>
      <c r="N406" s="299"/>
      <c r="O406" s="299" t="s">
        <v>3810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171</v>
      </c>
      <c r="U406" s="292" t="s">
        <v>3849</v>
      </c>
      <c r="V406" s="292" t="s">
        <v>66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3793</v>
      </c>
      <c r="B407" s="104" t="s">
        <v>4989</v>
      </c>
      <c r="C407" s="390" t="s">
        <v>4990</v>
      </c>
      <c r="D407" s="299">
        <v>515215</v>
      </c>
      <c r="E407" s="293" t="s">
        <v>19</v>
      </c>
      <c r="F407" s="293" t="s">
        <v>66</v>
      </c>
      <c r="G407" s="293" t="s">
        <v>316</v>
      </c>
      <c r="H407" s="299" t="str">
        <f>IFERROR(VLOOKUP(G407,'Cadastro de assessores'!A:B,2,FALSE),"Não Cadastrado")</f>
        <v>18009</v>
      </c>
      <c r="I407" s="299"/>
      <c r="J407" s="24" t="s">
        <v>3796</v>
      </c>
      <c r="K407" s="292" t="s">
        <v>145</v>
      </c>
      <c r="L407" s="415">
        <v>44349</v>
      </c>
      <c r="M407" s="415">
        <v>44349</v>
      </c>
      <c r="N407" s="292"/>
      <c r="O407" s="292" t="s">
        <v>4018</v>
      </c>
      <c r="P407" s="388">
        <v>0.02</v>
      </c>
      <c r="Q407" s="167" t="s">
        <v>4991</v>
      </c>
      <c r="R407" s="417"/>
      <c r="S407" s="292" t="str">
        <f t="shared" si="42"/>
        <v/>
      </c>
      <c r="T407" s="299" t="s">
        <v>127</v>
      </c>
      <c r="U407" s="299" t="s">
        <v>4102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2940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3793</v>
      </c>
      <c r="B408" s="104" t="s">
        <v>4992</v>
      </c>
      <c r="C408" s="390" t="s">
        <v>4993</v>
      </c>
      <c r="D408" s="299">
        <v>6403193</v>
      </c>
      <c r="E408" s="292" t="s">
        <v>19</v>
      </c>
      <c r="F408" s="292" t="s">
        <v>20</v>
      </c>
      <c r="G408" s="292" t="s">
        <v>4351</v>
      </c>
      <c r="H408" s="292" t="str">
        <f>IFERROR(VLOOKUP(G408,'Cadastro de assessores'!A:B,2,FALSE),"Não Cadastrado")</f>
        <v>16130</v>
      </c>
      <c r="I408" s="292"/>
      <c r="J408" s="24" t="s">
        <v>125</v>
      </c>
      <c r="K408" s="292" t="s">
        <v>3802</v>
      </c>
      <c r="L408" s="391">
        <v>44434</v>
      </c>
      <c r="M408" s="391">
        <v>44434</v>
      </c>
      <c r="N408" s="391">
        <v>44764</v>
      </c>
      <c r="O408" s="299" t="s">
        <v>3810</v>
      </c>
      <c r="P408" s="388">
        <v>7.0000000000000001E-3</v>
      </c>
      <c r="Q408" s="167" t="s">
        <v>4994</v>
      </c>
      <c r="R408" s="417"/>
      <c r="S408" s="292" t="str">
        <f t="shared" si="42"/>
        <v>Qualificado</v>
      </c>
      <c r="T408" s="299" t="s">
        <v>127</v>
      </c>
      <c r="U408" s="299" t="s">
        <v>3840</v>
      </c>
      <c r="V408" s="292" t="s">
        <v>66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3793</v>
      </c>
      <c r="B409" s="104" t="s">
        <v>3423</v>
      </c>
      <c r="C409" s="122" t="s">
        <v>3421</v>
      </c>
      <c r="D409" s="292">
        <v>490973</v>
      </c>
      <c r="E409" s="293" t="s">
        <v>19</v>
      </c>
      <c r="F409" s="293" t="s">
        <v>20</v>
      </c>
      <c r="G409" s="293" t="s">
        <v>791</v>
      </c>
      <c r="H409" s="293" t="str">
        <f>IFERROR(VLOOKUP(G409,'Cadastro de assessores'!A:B,2,FALSE),"Não Cadastrado")</f>
        <v>18467</v>
      </c>
      <c r="I409" s="293"/>
      <c r="J409" s="24" t="s">
        <v>3796</v>
      </c>
      <c r="K409" s="292" t="s">
        <v>134</v>
      </c>
      <c r="L409" s="415">
        <v>43685</v>
      </c>
      <c r="M409" s="415">
        <v>43690</v>
      </c>
      <c r="N409" s="292"/>
      <c r="O409" s="292" t="s">
        <v>3797</v>
      </c>
      <c r="P409" s="388">
        <v>0.02</v>
      </c>
      <c r="Q409" s="420" t="s">
        <v>4995</v>
      </c>
      <c r="R409" s="417"/>
      <c r="S409" s="292" t="str">
        <f t="shared" si="42"/>
        <v/>
      </c>
      <c r="T409" s="292" t="s">
        <v>127</v>
      </c>
      <c r="U409" s="292" t="s">
        <v>3975</v>
      </c>
      <c r="V409" s="292" t="s">
        <v>66</v>
      </c>
      <c r="W409" s="418" t="s">
        <v>4996</v>
      </c>
      <c r="X409" s="418"/>
      <c r="Y409" s="418" t="s">
        <v>4997</v>
      </c>
      <c r="Z409" s="418" t="s">
        <v>4998</v>
      </c>
      <c r="AA409" s="418" t="s">
        <v>4999</v>
      </c>
      <c r="AB409" s="418" t="s">
        <v>5000</v>
      </c>
      <c r="AC409" s="418" t="s">
        <v>5001</v>
      </c>
      <c r="AD409" s="418" t="s">
        <v>5002</v>
      </c>
      <c r="AE409" s="418" t="s">
        <v>5003</v>
      </c>
      <c r="AF409" s="418" t="s">
        <v>5004</v>
      </c>
      <c r="AG409" s="418" t="s">
        <v>5005</v>
      </c>
      <c r="AH409" s="418" t="s">
        <v>5006</v>
      </c>
      <c r="AI409" s="418" t="s">
        <v>5007</v>
      </c>
      <c r="AJ409" s="418" t="s">
        <v>5008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3793</v>
      </c>
      <c r="B410" s="104" t="s">
        <v>5009</v>
      </c>
      <c r="C410" s="122" t="s">
        <v>5010</v>
      </c>
      <c r="D410" s="299">
        <v>3318900</v>
      </c>
      <c r="E410" s="293" t="s">
        <v>2931</v>
      </c>
      <c r="F410" s="293" t="s">
        <v>20</v>
      </c>
      <c r="G410" s="293" t="s">
        <v>2931</v>
      </c>
      <c r="H410" s="293" t="str">
        <f>IFERROR(VLOOKUP(G410,'Cadastro de assessores'!A:B,2,FALSE),"Não Cadastrado")</f>
        <v>18986</v>
      </c>
      <c r="I410" s="293"/>
      <c r="J410" s="24" t="s">
        <v>3796</v>
      </c>
      <c r="K410" s="292" t="s">
        <v>134</v>
      </c>
      <c r="L410" s="415">
        <v>44449</v>
      </c>
      <c r="M410" s="415">
        <v>44452</v>
      </c>
      <c r="N410" s="299"/>
      <c r="O410" s="299" t="s">
        <v>3803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127</v>
      </c>
      <c r="U410" s="299" t="s">
        <v>3831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3793</v>
      </c>
      <c r="B411" s="104" t="s">
        <v>2223</v>
      </c>
      <c r="C411" s="122" t="s">
        <v>5011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3796</v>
      </c>
      <c r="K411" s="292" t="s">
        <v>134</v>
      </c>
      <c r="L411" s="415">
        <v>44167</v>
      </c>
      <c r="M411" s="415">
        <v>44167</v>
      </c>
      <c r="N411" s="292"/>
      <c r="O411" s="292" t="s">
        <v>3813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127</v>
      </c>
      <c r="U411" s="306" t="s">
        <v>3805</v>
      </c>
      <c r="V411" s="292" t="s">
        <v>20</v>
      </c>
      <c r="W411" s="418" t="s">
        <v>3806</v>
      </c>
      <c r="X411" s="418" t="s">
        <v>3806</v>
      </c>
      <c r="Y411" s="418" t="s">
        <v>3806</v>
      </c>
      <c r="Z411" s="418" t="s">
        <v>3806</v>
      </c>
      <c r="AA411" s="418" t="s">
        <v>3806</v>
      </c>
      <c r="AB411" s="418" t="s">
        <v>3806</v>
      </c>
      <c r="AC411" s="418" t="s">
        <v>3806</v>
      </c>
      <c r="AD411" s="418" t="s">
        <v>3806</v>
      </c>
      <c r="AE411" s="418" t="s">
        <v>3806</v>
      </c>
      <c r="AF411" s="418" t="s">
        <v>3806</v>
      </c>
      <c r="AG411" s="418" t="s">
        <v>3806</v>
      </c>
      <c r="AH411" s="418" t="s">
        <v>3806</v>
      </c>
      <c r="AI411" s="418" t="s">
        <v>3806</v>
      </c>
      <c r="AJ411" s="418" t="s">
        <v>3806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3793</v>
      </c>
      <c r="B412" s="104" t="s">
        <v>2231</v>
      </c>
      <c r="C412" s="86" t="s">
        <v>2228</v>
      </c>
      <c r="D412" s="426">
        <v>7047969</v>
      </c>
      <c r="E412" s="293" t="s">
        <v>19</v>
      </c>
      <c r="F412" s="293" t="s">
        <v>20</v>
      </c>
      <c r="G412" s="293" t="s">
        <v>2230</v>
      </c>
      <c r="H412" s="293">
        <f>IFERROR(VLOOKUP(G412,'Cadastro de assessores'!A:B,2,FALSE),"Não Cadastrado")</f>
        <v>12343</v>
      </c>
      <c r="I412" s="293"/>
      <c r="J412" s="24" t="s">
        <v>3796</v>
      </c>
      <c r="K412" s="292" t="s">
        <v>134</v>
      </c>
      <c r="L412" s="416">
        <v>44510</v>
      </c>
      <c r="M412" s="416">
        <v>44511</v>
      </c>
      <c r="N412" s="299"/>
      <c r="O412" s="299" t="s">
        <v>3810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127</v>
      </c>
      <c r="U412" s="307" t="s">
        <v>3824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3793</v>
      </c>
      <c r="B413" s="104" t="s">
        <v>3440</v>
      </c>
      <c r="C413" s="122" t="s">
        <v>3438</v>
      </c>
      <c r="D413" s="292">
        <v>4679169</v>
      </c>
      <c r="E413" s="293" t="s">
        <v>19</v>
      </c>
      <c r="F413" s="293" t="s">
        <v>20</v>
      </c>
      <c r="G413" s="293" t="s">
        <v>3080</v>
      </c>
      <c r="H413" s="293" t="str">
        <f>IFERROR(VLOOKUP(G413,'Cadastro de assessores'!A:B,2,FALSE),"Não Cadastrado")</f>
        <v>18236</v>
      </c>
      <c r="I413" s="293"/>
      <c r="J413" s="24" t="s">
        <v>3796</v>
      </c>
      <c r="K413" s="292" t="s">
        <v>145</v>
      </c>
      <c r="L413" s="292" t="s">
        <v>3154</v>
      </c>
      <c r="M413" s="436" t="s">
        <v>4185</v>
      </c>
      <c r="N413" s="299"/>
      <c r="O413" s="299" t="s">
        <v>3850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127</v>
      </c>
      <c r="U413" s="292" t="s">
        <v>3805</v>
      </c>
      <c r="V413" s="292" t="s">
        <v>20</v>
      </c>
      <c r="W413" s="418" t="s">
        <v>3806</v>
      </c>
      <c r="X413" s="418" t="s">
        <v>3806</v>
      </c>
      <c r="Y413" s="418" t="s">
        <v>3806</v>
      </c>
      <c r="Z413" s="418" t="s">
        <v>3806</v>
      </c>
      <c r="AA413" s="418" t="s">
        <v>3806</v>
      </c>
      <c r="AB413" s="418" t="s">
        <v>3806</v>
      </c>
      <c r="AC413" s="418" t="s">
        <v>3806</v>
      </c>
      <c r="AD413" s="418" t="s">
        <v>3806</v>
      </c>
      <c r="AE413" s="418" t="s">
        <v>3806</v>
      </c>
      <c r="AF413" s="418" t="s">
        <v>3806</v>
      </c>
      <c r="AG413" s="418" t="s">
        <v>3806</v>
      </c>
      <c r="AH413" s="418" t="s">
        <v>3806</v>
      </c>
      <c r="AI413" s="418" t="s">
        <v>3806</v>
      </c>
      <c r="AJ413" s="418" t="s">
        <v>3806</v>
      </c>
      <c r="AK413" s="339" t="s">
        <v>3154</v>
      </c>
      <c r="AL413" s="339"/>
      <c r="AM413" s="339" t="s">
        <v>3154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2940</v>
      </c>
      <c r="BE413" s="339" t="s">
        <v>2940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3793</v>
      </c>
      <c r="B414" s="104" t="s">
        <v>3440</v>
      </c>
      <c r="C414" s="122" t="s">
        <v>3438</v>
      </c>
      <c r="D414" s="292">
        <v>2096281</v>
      </c>
      <c r="E414" s="293" t="s">
        <v>19</v>
      </c>
      <c r="F414" s="293" t="s">
        <v>20</v>
      </c>
      <c r="G414" s="293" t="s">
        <v>3080</v>
      </c>
      <c r="H414" s="293" t="str">
        <f>IFERROR(VLOOKUP(G414,'Cadastro de assessores'!A:B,2,FALSE),"Não Cadastrado")</f>
        <v>18236</v>
      </c>
      <c r="I414" s="293"/>
      <c r="J414" s="24" t="s">
        <v>134</v>
      </c>
      <c r="K414" s="292" t="s">
        <v>134</v>
      </c>
      <c r="L414" s="415">
        <v>44294</v>
      </c>
      <c r="M414" s="415">
        <v>44294</v>
      </c>
      <c r="N414" s="292"/>
      <c r="O414" s="292" t="s">
        <v>3817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127</v>
      </c>
      <c r="U414" s="292" t="s">
        <v>3805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3793</v>
      </c>
      <c r="B415" s="104" t="s">
        <v>2267</v>
      </c>
      <c r="C415" s="122" t="s">
        <v>2265</v>
      </c>
      <c r="D415" s="292">
        <v>6199853</v>
      </c>
      <c r="E415" s="292" t="s">
        <v>19</v>
      </c>
      <c r="F415" s="292" t="s">
        <v>66</v>
      </c>
      <c r="G415" s="292" t="s">
        <v>144</v>
      </c>
      <c r="H415" s="293">
        <f>IFERROR(VLOOKUP(G415,'Cadastro de assessores'!A:B,2,FALSE),"Não Cadastrado")</f>
        <v>12331</v>
      </c>
      <c r="I415" s="292"/>
      <c r="J415" s="24" t="s">
        <v>3796</v>
      </c>
      <c r="K415" s="292"/>
      <c r="L415" s="419"/>
      <c r="M415" s="419">
        <v>44851</v>
      </c>
      <c r="N415" s="387"/>
      <c r="O415" s="292" t="s">
        <v>3803</v>
      </c>
      <c r="P415" s="388">
        <v>1.4999999999999999E-2</v>
      </c>
      <c r="Q415" s="420" t="s">
        <v>4087</v>
      </c>
      <c r="R415" s="417"/>
      <c r="S415" s="292"/>
      <c r="T415" s="292"/>
      <c r="U415" s="292"/>
      <c r="V415" s="292" t="s">
        <v>66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3793</v>
      </c>
      <c r="B416" s="104" t="s">
        <v>5012</v>
      </c>
      <c r="C416" s="122" t="s">
        <v>5013</v>
      </c>
      <c r="D416" s="292">
        <v>528568</v>
      </c>
      <c r="E416" s="292" t="s">
        <v>46</v>
      </c>
      <c r="F416" s="292" t="s">
        <v>20</v>
      </c>
      <c r="G416" s="292" t="s">
        <v>325</v>
      </c>
      <c r="H416" s="292" t="str">
        <f>IFERROR(VLOOKUP(G416,'Cadastro de assessores'!A:B,2,FALSE),"Não Cadastrado")</f>
        <v>17896</v>
      </c>
      <c r="I416" s="292"/>
      <c r="J416" s="24" t="s">
        <v>125</v>
      </c>
      <c r="K416" s="292" t="s">
        <v>3802</v>
      </c>
      <c r="L416" s="419">
        <v>44183</v>
      </c>
      <c r="M416" s="419">
        <v>44183</v>
      </c>
      <c r="N416" s="387">
        <v>44315</v>
      </c>
      <c r="O416" s="292" t="s">
        <v>3797</v>
      </c>
      <c r="P416" s="388">
        <v>0.02</v>
      </c>
      <c r="Q416" s="420" t="s">
        <v>5014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127</v>
      </c>
      <c r="U416" s="292" t="s">
        <v>3805</v>
      </c>
      <c r="V416" s="292" t="s">
        <v>20</v>
      </c>
      <c r="W416" s="418" t="s">
        <v>3806</v>
      </c>
      <c r="X416" s="418" t="s">
        <v>3806</v>
      </c>
      <c r="Y416" s="418" t="s">
        <v>3806</v>
      </c>
      <c r="Z416" s="418" t="s">
        <v>3806</v>
      </c>
      <c r="AA416" s="418" t="s">
        <v>3806</v>
      </c>
      <c r="AB416" s="418" t="s">
        <v>3806</v>
      </c>
      <c r="AC416" s="418" t="s">
        <v>3806</v>
      </c>
      <c r="AD416" s="418" t="s">
        <v>3806</v>
      </c>
      <c r="AE416" s="418" t="s">
        <v>3806</v>
      </c>
      <c r="AF416" s="418" t="s">
        <v>3806</v>
      </c>
      <c r="AG416" s="418" t="s">
        <v>3806</v>
      </c>
      <c r="AH416" s="418" t="s">
        <v>3806</v>
      </c>
      <c r="AI416" s="418" t="s">
        <v>3806</v>
      </c>
      <c r="AJ416" s="418" t="s">
        <v>3806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2940</v>
      </c>
      <c r="BE416" s="339" t="s">
        <v>2940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3793</v>
      </c>
      <c r="B417" s="104" t="s">
        <v>5015</v>
      </c>
      <c r="C417" s="390" t="s">
        <v>5016</v>
      </c>
      <c r="D417" s="299">
        <v>7388997</v>
      </c>
      <c r="E417" s="293" t="s">
        <v>19</v>
      </c>
      <c r="F417" s="293" t="s">
        <v>20</v>
      </c>
      <c r="G417" s="426" t="s">
        <v>935</v>
      </c>
      <c r="H417" s="293">
        <f>IFERROR(VLOOKUP(G417,'Cadastro de assessores'!A:B,2,FALSE),"Não Cadastrado")</f>
        <v>12342</v>
      </c>
      <c r="I417" s="293"/>
      <c r="J417" s="24" t="s">
        <v>125</v>
      </c>
      <c r="K417" s="292" t="s">
        <v>134</v>
      </c>
      <c r="L417" s="416">
        <v>44539</v>
      </c>
      <c r="M417" s="416">
        <v>44543</v>
      </c>
      <c r="N417" s="426"/>
      <c r="O417" s="426" t="s">
        <v>3810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127</v>
      </c>
      <c r="U417" s="292" t="s">
        <v>4057</v>
      </c>
      <c r="V417" s="292" t="s">
        <v>878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3793</v>
      </c>
      <c r="B418" s="104" t="s">
        <v>5017</v>
      </c>
      <c r="C418" s="122" t="s">
        <v>5018</v>
      </c>
      <c r="D418" s="292">
        <v>3445098</v>
      </c>
      <c r="E418" s="293" t="s">
        <v>2931</v>
      </c>
      <c r="F418" s="293" t="s">
        <v>20</v>
      </c>
      <c r="G418" s="293" t="s">
        <v>2931</v>
      </c>
      <c r="H418" s="293" t="str">
        <f>IFERROR(VLOOKUP(G418,'Cadastro de assessores'!A:B,2,FALSE),"Não Cadastrado")</f>
        <v>18986</v>
      </c>
      <c r="I418" s="293"/>
      <c r="J418" s="24" t="s">
        <v>3796</v>
      </c>
      <c r="K418" s="292" t="s">
        <v>145</v>
      </c>
      <c r="L418" s="415">
        <v>44036</v>
      </c>
      <c r="M418" s="415">
        <v>44043</v>
      </c>
      <c r="N418" s="292"/>
      <c r="O418" s="292" t="s">
        <v>3803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127</v>
      </c>
      <c r="U418" s="292" t="s">
        <v>3975</v>
      </c>
      <c r="V418" s="292" t="s">
        <v>66</v>
      </c>
      <c r="W418" s="418" t="s">
        <v>3806</v>
      </c>
      <c r="X418" s="418" t="s">
        <v>3806</v>
      </c>
      <c r="Y418" s="418" t="s">
        <v>3806</v>
      </c>
      <c r="Z418" s="418" t="s">
        <v>3806</v>
      </c>
      <c r="AA418" s="418" t="s">
        <v>3806</v>
      </c>
      <c r="AB418" s="418" t="s">
        <v>3806</v>
      </c>
      <c r="AC418" s="418" t="s">
        <v>3806</v>
      </c>
      <c r="AD418" s="418" t="s">
        <v>3806</v>
      </c>
      <c r="AE418" s="418" t="s">
        <v>3806</v>
      </c>
      <c r="AF418" s="418" t="s">
        <v>5019</v>
      </c>
      <c r="AG418" s="418" t="s">
        <v>5020</v>
      </c>
      <c r="AH418" s="418" t="s">
        <v>5021</v>
      </c>
      <c r="AI418" s="418" t="s">
        <v>5022</v>
      </c>
      <c r="AJ418" s="418" t="s">
        <v>5023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3793</v>
      </c>
      <c r="B419" s="104" t="s">
        <v>5024</v>
      </c>
      <c r="C419" s="390" t="s">
        <v>5025</v>
      </c>
      <c r="D419" s="432">
        <v>7709062</v>
      </c>
      <c r="E419" s="292" t="s">
        <v>19</v>
      </c>
      <c r="F419" s="292" t="s">
        <v>66</v>
      </c>
      <c r="G419" s="292" t="s">
        <v>5026</v>
      </c>
      <c r="H419" s="292" t="str">
        <f>IFERROR(VLOOKUP(G419,'Cadastro de assessores'!A:B,2,FALSE),"Não Cadastrado")</f>
        <v>15544</v>
      </c>
      <c r="I419" s="292"/>
      <c r="J419" s="24" t="s">
        <v>125</v>
      </c>
      <c r="K419" s="292" t="s">
        <v>145</v>
      </c>
      <c r="L419" s="387">
        <v>44615</v>
      </c>
      <c r="M419" s="387">
        <v>44623</v>
      </c>
      <c r="N419" s="391">
        <v>44820</v>
      </c>
      <c r="O419" s="299" t="s">
        <v>4158</v>
      </c>
      <c r="P419" s="388">
        <v>0.01</v>
      </c>
      <c r="Q419" s="420" t="s">
        <v>5027</v>
      </c>
      <c r="R419" s="417"/>
      <c r="S419" s="292" t="str">
        <f t="shared" si="43"/>
        <v>Não Qualificado</v>
      </c>
      <c r="T419" s="292" t="s">
        <v>127</v>
      </c>
      <c r="U419" s="292" t="s">
        <v>3849</v>
      </c>
      <c r="V419" s="292" t="s">
        <v>66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3793</v>
      </c>
      <c r="B420" s="104" t="s">
        <v>5028</v>
      </c>
      <c r="C420" s="390" t="s">
        <v>5029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3796</v>
      </c>
      <c r="K420" s="293" t="s">
        <v>134</v>
      </c>
      <c r="L420" s="423">
        <v>44760</v>
      </c>
      <c r="M420" s="423">
        <v>44764</v>
      </c>
      <c r="N420" s="299"/>
      <c r="O420" s="299" t="s">
        <v>3813</v>
      </c>
      <c r="P420" s="388">
        <v>1.2E-2</v>
      </c>
      <c r="Q420" s="167"/>
      <c r="R420" s="417"/>
      <c r="S420" s="292"/>
      <c r="T420" s="292" t="s">
        <v>127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3793</v>
      </c>
      <c r="B421" s="104" t="s">
        <v>2282</v>
      </c>
      <c r="C421" s="390" t="s">
        <v>5030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3796</v>
      </c>
      <c r="K421" s="293" t="s">
        <v>134</v>
      </c>
      <c r="L421" s="423">
        <v>44636</v>
      </c>
      <c r="M421" s="423">
        <v>44645</v>
      </c>
      <c r="N421" s="299"/>
      <c r="O421" s="299" t="s">
        <v>3810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127</v>
      </c>
      <c r="U421" s="299" t="s">
        <v>4669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3793</v>
      </c>
      <c r="B422" s="104" t="s">
        <v>5031</v>
      </c>
      <c r="C422" s="390" t="s">
        <v>5032</v>
      </c>
      <c r="D422" s="299">
        <v>5603037</v>
      </c>
      <c r="E422" s="292" t="s">
        <v>2931</v>
      </c>
      <c r="F422" s="292" t="s">
        <v>20</v>
      </c>
      <c r="G422" s="299" t="s">
        <v>2931</v>
      </c>
      <c r="H422" s="299" t="str">
        <f>IFERROR(VLOOKUP(G422,'Cadastro de assessores'!A:B,2,FALSE),"Não Cadastrado")</f>
        <v>18986</v>
      </c>
      <c r="I422" s="299"/>
      <c r="J422" s="24" t="s">
        <v>125</v>
      </c>
      <c r="K422" s="476" t="s">
        <v>134</v>
      </c>
      <c r="L422" s="387">
        <v>44358</v>
      </c>
      <c r="M422" s="387">
        <v>44361</v>
      </c>
      <c r="N422" s="387">
        <v>44831</v>
      </c>
      <c r="O422" s="292" t="s">
        <v>3813</v>
      </c>
      <c r="P422" s="388">
        <v>1.2E-2</v>
      </c>
      <c r="Q422" s="167" t="s">
        <v>5033</v>
      </c>
      <c r="R422" s="417"/>
      <c r="S422" s="292" t="str">
        <f t="shared" si="44"/>
        <v/>
      </c>
      <c r="T422" s="292" t="s">
        <v>127</v>
      </c>
      <c r="U422" s="299" t="s">
        <v>4186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3793</v>
      </c>
      <c r="B423" s="104" t="s">
        <v>5034</v>
      </c>
      <c r="C423" s="390" t="s">
        <v>5035</v>
      </c>
      <c r="D423" s="292">
        <v>5646446</v>
      </c>
      <c r="E423" s="292" t="s">
        <v>46</v>
      </c>
      <c r="F423" s="292" t="s">
        <v>20</v>
      </c>
      <c r="G423" s="292" t="s">
        <v>2810</v>
      </c>
      <c r="H423" s="293">
        <f>IFERROR(VLOOKUP(G423,'Cadastro de assessores'!A:B,2,FALSE),"Não Cadastrado")</f>
        <v>12347</v>
      </c>
      <c r="I423" s="293"/>
      <c r="J423" s="24" t="s">
        <v>3796</v>
      </c>
      <c r="K423" s="293" t="s">
        <v>134</v>
      </c>
      <c r="L423" s="415">
        <v>44361</v>
      </c>
      <c r="M423" s="415">
        <v>44361</v>
      </c>
      <c r="N423" s="292"/>
      <c r="O423" s="292" t="s">
        <v>3813</v>
      </c>
      <c r="P423" s="388">
        <v>1.2E-2</v>
      </c>
      <c r="Q423" s="421" t="s">
        <v>5036</v>
      </c>
      <c r="R423" s="417"/>
      <c r="S423" s="292" t="str">
        <f t="shared" si="44"/>
        <v/>
      </c>
      <c r="T423" s="292" t="s">
        <v>127</v>
      </c>
      <c r="U423" s="299" t="s">
        <v>4217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3793</v>
      </c>
      <c r="B424" s="104" t="s">
        <v>3445</v>
      </c>
      <c r="C424" s="122" t="s">
        <v>5037</v>
      </c>
      <c r="D424" s="292">
        <v>3768368</v>
      </c>
      <c r="E424" s="293" t="s">
        <v>19</v>
      </c>
      <c r="F424" s="293" t="s">
        <v>20</v>
      </c>
      <c r="G424" s="293" t="s">
        <v>2963</v>
      </c>
      <c r="H424" s="293" t="str">
        <f>IFERROR(VLOOKUP(G424,'Cadastro de assessores'!A:B,2,FALSE),"Não Cadastrado")</f>
        <v>18836</v>
      </c>
      <c r="I424" s="293"/>
      <c r="J424" s="24" t="s">
        <v>3796</v>
      </c>
      <c r="K424" s="293" t="s">
        <v>134</v>
      </c>
      <c r="L424" s="416">
        <v>44138</v>
      </c>
      <c r="M424" s="416">
        <v>44151</v>
      </c>
      <c r="N424" s="299"/>
      <c r="O424" s="299" t="s">
        <v>3850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127</v>
      </c>
      <c r="U424" s="292" t="s">
        <v>4057</v>
      </c>
      <c r="V424" s="292" t="s">
        <v>878</v>
      </c>
      <c r="W424" s="418" t="s">
        <v>3806</v>
      </c>
      <c r="X424" s="418" t="s">
        <v>3806</v>
      </c>
      <c r="Y424" s="418" t="s">
        <v>3806</v>
      </c>
      <c r="Z424" s="418" t="s">
        <v>3806</v>
      </c>
      <c r="AA424" s="418" t="s">
        <v>3806</v>
      </c>
      <c r="AB424" s="418" t="s">
        <v>3806</v>
      </c>
      <c r="AC424" s="418" t="s">
        <v>3806</v>
      </c>
      <c r="AD424" s="418" t="s">
        <v>3806</v>
      </c>
      <c r="AE424" s="418" t="s">
        <v>3806</v>
      </c>
      <c r="AF424" s="418" t="s">
        <v>3806</v>
      </c>
      <c r="AG424" s="418" t="s">
        <v>3806</v>
      </c>
      <c r="AH424" s="418" t="s">
        <v>3806</v>
      </c>
      <c r="AI424" s="418" t="s">
        <v>3806</v>
      </c>
      <c r="AJ424" s="418" t="s">
        <v>5038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3793</v>
      </c>
      <c r="B425" s="104" t="s">
        <v>3445</v>
      </c>
      <c r="C425" s="122" t="s">
        <v>5037</v>
      </c>
      <c r="D425" s="292">
        <v>4587723</v>
      </c>
      <c r="E425" s="293" t="s">
        <v>19</v>
      </c>
      <c r="F425" s="293" t="s">
        <v>20</v>
      </c>
      <c r="G425" s="293" t="s">
        <v>2963</v>
      </c>
      <c r="H425" s="293" t="str">
        <f>IFERROR(VLOOKUP(G425,'Cadastro de assessores'!A:B,2,FALSE),"Não Cadastrado")</f>
        <v>18836</v>
      </c>
      <c r="I425" s="293"/>
      <c r="J425" s="24" t="s">
        <v>3796</v>
      </c>
      <c r="K425" s="293" t="s">
        <v>134</v>
      </c>
      <c r="L425" s="416">
        <v>44151</v>
      </c>
      <c r="M425" s="416">
        <v>44151</v>
      </c>
      <c r="N425" s="292"/>
      <c r="O425" s="292" t="s">
        <v>3817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127</v>
      </c>
      <c r="U425" s="292" t="s">
        <v>4057</v>
      </c>
      <c r="V425" s="292" t="s">
        <v>878</v>
      </c>
      <c r="W425" s="418" t="s">
        <v>3806</v>
      </c>
      <c r="X425" s="418" t="s">
        <v>3806</v>
      </c>
      <c r="Y425" s="418" t="s">
        <v>3806</v>
      </c>
      <c r="Z425" s="418" t="s">
        <v>3806</v>
      </c>
      <c r="AA425" s="418" t="s">
        <v>3806</v>
      </c>
      <c r="AB425" s="418" t="s">
        <v>3806</v>
      </c>
      <c r="AC425" s="418" t="s">
        <v>3806</v>
      </c>
      <c r="AD425" s="418" t="s">
        <v>3806</v>
      </c>
      <c r="AE425" s="418" t="s">
        <v>3806</v>
      </c>
      <c r="AF425" s="418" t="s">
        <v>3806</v>
      </c>
      <c r="AG425" s="418" t="s">
        <v>3806</v>
      </c>
      <c r="AH425" s="418" t="s">
        <v>3806</v>
      </c>
      <c r="AI425" s="418" t="s">
        <v>3806</v>
      </c>
      <c r="AJ425" s="418" t="s">
        <v>5039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3793</v>
      </c>
      <c r="B426" s="104" t="s">
        <v>5040</v>
      </c>
      <c r="C426" s="390" t="s">
        <v>5041</v>
      </c>
      <c r="D426" s="299">
        <v>5563710</v>
      </c>
      <c r="E426" s="292" t="s">
        <v>19</v>
      </c>
      <c r="F426" s="292" t="s">
        <v>66</v>
      </c>
      <c r="G426" s="292" t="s">
        <v>316</v>
      </c>
      <c r="H426" s="292" t="str">
        <f>IFERROR(VLOOKUP(G426,'Cadastro de assessores'!A:B,2,FALSE),"Não Cadastrado")</f>
        <v>18009</v>
      </c>
      <c r="I426" s="292"/>
      <c r="J426" s="24" t="s">
        <v>125</v>
      </c>
      <c r="K426" s="292" t="s">
        <v>3802</v>
      </c>
      <c r="L426" s="387">
        <v>44362</v>
      </c>
      <c r="M426" s="387">
        <v>44362</v>
      </c>
      <c r="N426" s="391">
        <v>44714</v>
      </c>
      <c r="O426" s="299" t="s">
        <v>3797</v>
      </c>
      <c r="P426" s="388">
        <v>0.02</v>
      </c>
      <c r="Q426" s="420" t="s">
        <v>4771</v>
      </c>
      <c r="R426" s="417"/>
      <c r="S426" s="292" t="str">
        <f t="shared" si="44"/>
        <v>Não Qualificado</v>
      </c>
      <c r="T426" s="292" t="s">
        <v>127</v>
      </c>
      <c r="U426" s="292" t="s">
        <v>3854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2940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3793</v>
      </c>
      <c r="B427" s="104" t="s">
        <v>5042</v>
      </c>
      <c r="C427" s="122" t="s">
        <v>5043</v>
      </c>
      <c r="D427" s="292">
        <v>5709377</v>
      </c>
      <c r="E427" s="292" t="s">
        <v>19</v>
      </c>
      <c r="F427" s="292" t="s">
        <v>20</v>
      </c>
      <c r="G427" s="292" t="s">
        <v>5044</v>
      </c>
      <c r="H427" s="292" t="str">
        <f>IFERROR(VLOOKUP(G427,'Cadastro de assessores'!A:B,2,FALSE),"Não Cadastrado")</f>
        <v>17109</v>
      </c>
      <c r="I427" s="292"/>
      <c r="J427" s="24" t="s">
        <v>125</v>
      </c>
      <c r="K427" s="292" t="s">
        <v>3802</v>
      </c>
      <c r="L427" s="292" t="s">
        <v>3154</v>
      </c>
      <c r="M427" s="292" t="s">
        <v>3154</v>
      </c>
      <c r="N427" s="387">
        <v>44384</v>
      </c>
      <c r="O427" s="292" t="s">
        <v>3813</v>
      </c>
      <c r="P427" s="388">
        <v>1.2E-2</v>
      </c>
      <c r="Q427" s="420" t="s">
        <v>5045</v>
      </c>
      <c r="R427" s="417"/>
      <c r="S427" s="292" t="str">
        <f t="shared" si="44"/>
        <v>Não Qualificado</v>
      </c>
      <c r="T427" s="292" t="s">
        <v>127</v>
      </c>
      <c r="U427" s="292"/>
      <c r="V427" s="292" t="s">
        <v>3154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2940</v>
      </c>
      <c r="BE427" s="339" t="s">
        <v>2940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3793</v>
      </c>
      <c r="B428" s="104" t="s">
        <v>5046</v>
      </c>
      <c r="C428" s="390" t="s">
        <v>5047</v>
      </c>
      <c r="D428" s="299">
        <v>2545354</v>
      </c>
      <c r="E428" s="293" t="s">
        <v>19</v>
      </c>
      <c r="F428" s="293" t="s">
        <v>66</v>
      </c>
      <c r="G428" s="293" t="s">
        <v>316</v>
      </c>
      <c r="H428" s="293" t="str">
        <f>IFERROR(VLOOKUP(G428,'Cadastro de assessores'!A:B,2,FALSE),"Não Cadastrado")</f>
        <v>18009</v>
      </c>
      <c r="I428" s="293"/>
      <c r="J428" s="24" t="s">
        <v>3796</v>
      </c>
      <c r="K428" s="299" t="s">
        <v>134</v>
      </c>
      <c r="L428" s="477">
        <v>44355</v>
      </c>
      <c r="M428" s="477">
        <v>44355</v>
      </c>
      <c r="N428" s="458"/>
      <c r="O428" s="292" t="s">
        <v>3803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127</v>
      </c>
      <c r="U428" s="299" t="s">
        <v>4102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3793</v>
      </c>
      <c r="B429" s="104" t="s">
        <v>2330</v>
      </c>
      <c r="C429" s="441" t="s">
        <v>5048</v>
      </c>
      <c r="D429" s="422">
        <v>2751241</v>
      </c>
      <c r="E429" s="293" t="s">
        <v>19</v>
      </c>
      <c r="F429" s="293" t="s">
        <v>66</v>
      </c>
      <c r="G429" s="293" t="s">
        <v>144</v>
      </c>
      <c r="H429" s="293">
        <f>IFERROR(VLOOKUP(G429,'Cadastro de assessores'!A:B,2,FALSE),"Não Cadastrado")</f>
        <v>12331</v>
      </c>
      <c r="I429" s="293"/>
      <c r="J429" s="24" t="s">
        <v>134</v>
      </c>
      <c r="K429" s="299"/>
      <c r="L429" s="478"/>
      <c r="M429" s="478">
        <v>44851</v>
      </c>
      <c r="N429" s="462"/>
      <c r="O429" s="293" t="s">
        <v>3803</v>
      </c>
      <c r="P429" s="428">
        <v>1.4999999999999999E-2</v>
      </c>
      <c r="Q429" s="479" t="s">
        <v>5049</v>
      </c>
      <c r="R429" s="417"/>
      <c r="S429" s="292"/>
      <c r="T429" s="292"/>
      <c r="U429" s="292"/>
      <c r="V429" s="292" t="s">
        <v>66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3793</v>
      </c>
      <c r="B430" s="104" t="s">
        <v>2337</v>
      </c>
      <c r="C430" s="441" t="s">
        <v>2335</v>
      </c>
      <c r="D430" s="422">
        <v>6029791</v>
      </c>
      <c r="E430" s="293" t="s">
        <v>19</v>
      </c>
      <c r="F430" s="293" t="s">
        <v>66</v>
      </c>
      <c r="G430" s="293" t="s">
        <v>67</v>
      </c>
      <c r="H430" s="293" t="str">
        <f>IFERROR(VLOOKUP(G430,'Cadastro de assessores'!A:B,2,FALSE),"Não Cadastrado")</f>
        <v>18890</v>
      </c>
      <c r="I430" s="293"/>
      <c r="J430" s="24" t="s">
        <v>3796</v>
      </c>
      <c r="K430" s="299" t="s">
        <v>134</v>
      </c>
      <c r="L430" s="391">
        <v>44600</v>
      </c>
      <c r="M430" s="391">
        <v>44605</v>
      </c>
      <c r="N430" s="293"/>
      <c r="O430" s="293" t="s">
        <v>3810</v>
      </c>
      <c r="P430" s="428">
        <v>7.0000000000000001E-3</v>
      </c>
      <c r="Q430" s="167" t="s">
        <v>3916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127</v>
      </c>
      <c r="U430" s="292" t="s">
        <v>3849</v>
      </c>
      <c r="V430" s="292" t="s">
        <v>66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3793</v>
      </c>
      <c r="B431" s="104" t="s">
        <v>2343</v>
      </c>
      <c r="C431" s="122" t="s">
        <v>5050</v>
      </c>
      <c r="D431" s="292">
        <v>8698050</v>
      </c>
      <c r="E431" s="292" t="s">
        <v>19</v>
      </c>
      <c r="F431" s="292" t="s">
        <v>66</v>
      </c>
      <c r="G431" s="292" t="s">
        <v>265</v>
      </c>
      <c r="H431" s="292" t="s">
        <v>5051</v>
      </c>
      <c r="I431" s="292"/>
      <c r="J431" s="24" t="s">
        <v>3796</v>
      </c>
      <c r="K431" s="292" t="s">
        <v>134</v>
      </c>
      <c r="L431" s="387">
        <v>44715</v>
      </c>
      <c r="M431" s="387">
        <v>44719</v>
      </c>
      <c r="N431" s="387"/>
      <c r="O431" s="292" t="s">
        <v>4473</v>
      </c>
      <c r="P431" s="388">
        <v>1.2E-2</v>
      </c>
      <c r="Q431" s="167" t="s">
        <v>5052</v>
      </c>
      <c r="R431" s="417"/>
      <c r="S431" s="292"/>
      <c r="T431" s="292" t="s">
        <v>127</v>
      </c>
      <c r="U431" s="292" t="s">
        <v>3975</v>
      </c>
      <c r="V431" s="292" t="s">
        <v>66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2940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3793</v>
      </c>
      <c r="B432" s="104" t="s">
        <v>2350</v>
      </c>
      <c r="C432" s="433" t="s">
        <v>5053</v>
      </c>
      <c r="D432" s="434">
        <v>495561</v>
      </c>
      <c r="E432" s="292" t="s">
        <v>19</v>
      </c>
      <c r="F432" s="292" t="s">
        <v>20</v>
      </c>
      <c r="G432" s="292" t="s">
        <v>184</v>
      </c>
      <c r="H432" s="292"/>
      <c r="I432" s="292"/>
      <c r="J432" s="24" t="s">
        <v>134</v>
      </c>
      <c r="K432" s="292"/>
      <c r="L432" s="419"/>
      <c r="M432" s="419">
        <v>44918</v>
      </c>
      <c r="N432" s="387"/>
      <c r="O432" s="292" t="s">
        <v>3813</v>
      </c>
      <c r="P432" s="388">
        <v>8.0000000000000002E-3</v>
      </c>
      <c r="Q432" s="481" t="s">
        <v>5054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3793</v>
      </c>
      <c r="B433" s="104" t="s">
        <v>5055</v>
      </c>
      <c r="C433" s="122" t="s">
        <v>5056</v>
      </c>
      <c r="D433" s="292">
        <v>3520517</v>
      </c>
      <c r="E433" s="292" t="s">
        <v>2931</v>
      </c>
      <c r="F433" s="292" t="s">
        <v>20</v>
      </c>
      <c r="G433" s="292" t="s">
        <v>2931</v>
      </c>
      <c r="H433" s="292" t="str">
        <f>IFERROR(VLOOKUP(G433,'Cadastro de assessores'!A:B,2,FALSE),"Não Cadastrado")</f>
        <v>18986</v>
      </c>
      <c r="I433" s="292"/>
      <c r="J433" s="24" t="s">
        <v>125</v>
      </c>
      <c r="K433" s="292" t="s">
        <v>3802</v>
      </c>
      <c r="L433" s="419">
        <v>43749</v>
      </c>
      <c r="M433" s="419">
        <v>43749</v>
      </c>
      <c r="N433" s="387">
        <v>44305</v>
      </c>
      <c r="O433" s="292" t="s">
        <v>4196</v>
      </c>
      <c r="P433" s="388">
        <v>0.01</v>
      </c>
      <c r="Q433" s="167" t="s">
        <v>5057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127</v>
      </c>
      <c r="U433" s="292" t="s">
        <v>3937</v>
      </c>
      <c r="V433" s="292" t="s">
        <v>20</v>
      </c>
      <c r="W433" s="418" t="s">
        <v>5058</v>
      </c>
      <c r="X433" s="418"/>
      <c r="Y433" s="418" t="s">
        <v>5059</v>
      </c>
      <c r="Z433" s="418" t="s">
        <v>5060</v>
      </c>
      <c r="AA433" s="418" t="s">
        <v>5061</v>
      </c>
      <c r="AB433" s="418" t="s">
        <v>5062</v>
      </c>
      <c r="AC433" s="418" t="s">
        <v>5063</v>
      </c>
      <c r="AD433" s="418" t="s">
        <v>5064</v>
      </c>
      <c r="AE433" s="418" t="s">
        <v>5065</v>
      </c>
      <c r="AF433" s="418" t="s">
        <v>5066</v>
      </c>
      <c r="AG433" s="418" t="s">
        <v>5067</v>
      </c>
      <c r="AH433" s="418" t="s">
        <v>5068</v>
      </c>
      <c r="AI433" s="418" t="s">
        <v>5069</v>
      </c>
      <c r="AJ433" s="418" t="s">
        <v>5070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2940</v>
      </c>
      <c r="BE433" s="339" t="s">
        <v>2940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3793</v>
      </c>
      <c r="B434" s="104" t="s">
        <v>2364</v>
      </c>
      <c r="C434" s="441" t="s">
        <v>5071</v>
      </c>
      <c r="D434" s="293">
        <v>6579987</v>
      </c>
      <c r="E434" s="293" t="s">
        <v>19</v>
      </c>
      <c r="F434" s="293" t="s">
        <v>66</v>
      </c>
      <c r="G434" s="293" t="s">
        <v>316</v>
      </c>
      <c r="H434" s="293" t="str">
        <f>IFERROR(VLOOKUP(G434,'Cadastro de assessores'!A:B,2,FALSE),"Não Cadastrado")</f>
        <v>18009</v>
      </c>
      <c r="I434" s="293"/>
      <c r="J434" s="24" t="s">
        <v>125</v>
      </c>
      <c r="K434" s="293" t="s">
        <v>134</v>
      </c>
      <c r="L434" s="415">
        <v>44452</v>
      </c>
      <c r="M434" s="415">
        <v>44469</v>
      </c>
      <c r="N434" s="391">
        <v>44960</v>
      </c>
      <c r="O434" s="299" t="s">
        <v>3797</v>
      </c>
      <c r="P434" s="428">
        <v>0.02</v>
      </c>
      <c r="Q434" s="167" t="s">
        <v>5072</v>
      </c>
      <c r="R434" s="417"/>
      <c r="S434" s="292" t="str">
        <f t="shared" si="45"/>
        <v/>
      </c>
      <c r="T434" s="292" t="s">
        <v>127</v>
      </c>
      <c r="U434" s="292" t="s">
        <v>3941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3793</v>
      </c>
      <c r="B435" s="104" t="s">
        <v>2368</v>
      </c>
      <c r="C435" s="122" t="s">
        <v>5073</v>
      </c>
      <c r="D435" s="292">
        <v>306126</v>
      </c>
      <c r="E435" s="293" t="s">
        <v>2931</v>
      </c>
      <c r="F435" s="293" t="s">
        <v>20</v>
      </c>
      <c r="G435" s="293" t="s">
        <v>2931</v>
      </c>
      <c r="H435" s="293" t="str">
        <f>IFERROR(VLOOKUP(G435,'Cadastro de assessores'!A:B,2,FALSE),"Não Cadastrado")</f>
        <v>18986</v>
      </c>
      <c r="I435" s="293"/>
      <c r="J435" s="24" t="s">
        <v>3796</v>
      </c>
      <c r="K435" s="293" t="s">
        <v>134</v>
      </c>
      <c r="L435" s="415">
        <v>44172</v>
      </c>
      <c r="M435" s="415">
        <v>44210</v>
      </c>
      <c r="N435" s="299"/>
      <c r="O435" s="299" t="s">
        <v>3797</v>
      </c>
      <c r="P435" s="428">
        <v>0.02</v>
      </c>
      <c r="Q435" s="420"/>
      <c r="R435" s="417"/>
      <c r="S435" s="292" t="str">
        <f t="shared" si="45"/>
        <v/>
      </c>
      <c r="T435" s="292" t="s">
        <v>127</v>
      </c>
      <c r="U435" s="292" t="s">
        <v>3805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3793</v>
      </c>
      <c r="B436" s="104" t="s">
        <v>2387</v>
      </c>
      <c r="C436" s="390" t="s">
        <v>5074</v>
      </c>
      <c r="D436" s="299">
        <v>2997463</v>
      </c>
      <c r="E436" s="293" t="s">
        <v>19</v>
      </c>
      <c r="F436" s="293" t="s">
        <v>20</v>
      </c>
      <c r="G436" s="293" t="s">
        <v>184</v>
      </c>
      <c r="H436" s="293">
        <f>IFERROR(VLOOKUP(G436,'Cadastro de assessores'!A:B,2,FALSE),"Não Cadastrado")</f>
        <v>12332</v>
      </c>
      <c r="I436" s="293"/>
      <c r="J436" s="24" t="s">
        <v>3796</v>
      </c>
      <c r="K436" s="299" t="s">
        <v>134</v>
      </c>
      <c r="L436" s="415">
        <v>44496</v>
      </c>
      <c r="M436" s="415">
        <v>44503</v>
      </c>
      <c r="N436" s="299"/>
      <c r="O436" s="299" t="s">
        <v>3810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127</v>
      </c>
      <c r="U436" s="299" t="s">
        <v>3840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3793</v>
      </c>
      <c r="B437" s="104" t="s">
        <v>2387</v>
      </c>
      <c r="C437" s="390" t="s">
        <v>5074</v>
      </c>
      <c r="D437" s="293">
        <v>9129986</v>
      </c>
      <c r="E437" s="293" t="s">
        <v>19</v>
      </c>
      <c r="F437" s="293" t="s">
        <v>20</v>
      </c>
      <c r="G437" s="293" t="s">
        <v>184</v>
      </c>
      <c r="H437" s="293">
        <f>IFERROR(VLOOKUP(G437,'Cadastro de assessores'!A:B,2,FALSE),"Não Cadastrado")</f>
        <v>12332</v>
      </c>
      <c r="I437" s="293"/>
      <c r="J437" s="24" t="s">
        <v>3796</v>
      </c>
      <c r="K437" s="292" t="s">
        <v>145</v>
      </c>
      <c r="L437" s="415">
        <v>44817</v>
      </c>
      <c r="M437" s="415">
        <v>44825</v>
      </c>
      <c r="N437" s="292"/>
      <c r="O437" s="292" t="s">
        <v>3817</v>
      </c>
      <c r="P437" s="428">
        <v>2.5000000000000001E-2</v>
      </c>
      <c r="Q437" s="304"/>
      <c r="R437" s="417"/>
      <c r="S437" s="292"/>
      <c r="T437" s="292"/>
      <c r="U437" s="292"/>
      <c r="V437" s="292" t="s">
        <v>3154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3793</v>
      </c>
      <c r="B438" s="104" t="s">
        <v>5075</v>
      </c>
      <c r="C438" s="122" t="s">
        <v>5076</v>
      </c>
      <c r="D438" s="293">
        <v>4837612</v>
      </c>
      <c r="E438" s="293" t="s">
        <v>46</v>
      </c>
      <c r="F438" s="293" t="s">
        <v>20</v>
      </c>
      <c r="G438" s="293" t="s">
        <v>325</v>
      </c>
      <c r="H438" s="293" t="str">
        <f>IFERROR(VLOOKUP(G438,'Cadastro de assessores'!A:B,2,FALSE),"Não Cadastrado")</f>
        <v>17896</v>
      </c>
      <c r="I438" s="293"/>
      <c r="J438" s="24" t="s">
        <v>125</v>
      </c>
      <c r="K438" s="293" t="s">
        <v>134</v>
      </c>
      <c r="L438" s="415">
        <v>44232</v>
      </c>
      <c r="M438" s="415">
        <v>44250</v>
      </c>
      <c r="N438" s="387">
        <v>44984</v>
      </c>
      <c r="O438" s="292" t="s">
        <v>3803</v>
      </c>
      <c r="P438" s="428">
        <v>1.4999999999999999E-2</v>
      </c>
      <c r="Q438" s="304" t="s">
        <v>5077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127</v>
      </c>
      <c r="U438" s="292" t="s">
        <v>3941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3793</v>
      </c>
      <c r="B439" s="104" t="s">
        <v>5078</v>
      </c>
      <c r="C439" s="122" t="s">
        <v>5079</v>
      </c>
      <c r="D439" s="292">
        <v>4617147</v>
      </c>
      <c r="E439" s="292" t="s">
        <v>19</v>
      </c>
      <c r="F439" s="292" t="s">
        <v>20</v>
      </c>
      <c r="G439" s="292" t="s">
        <v>3801</v>
      </c>
      <c r="H439" s="292" t="str">
        <f>IFERROR(VLOOKUP(G439,'Cadastro de assessores'!A:B,2,FALSE),"Não Cadastrado")</f>
        <v>17679</v>
      </c>
      <c r="I439" s="292"/>
      <c r="J439" s="24" t="s">
        <v>125</v>
      </c>
      <c r="K439" s="292" t="s">
        <v>3802</v>
      </c>
      <c r="L439" s="387">
        <v>44166</v>
      </c>
      <c r="M439" s="387">
        <v>44166</v>
      </c>
      <c r="N439" s="387">
        <v>44390</v>
      </c>
      <c r="O439" s="292" t="s">
        <v>3803</v>
      </c>
      <c r="P439" s="388">
        <v>1.4999999999999999E-2</v>
      </c>
      <c r="Q439" s="420" t="s">
        <v>5080</v>
      </c>
      <c r="R439" s="417"/>
      <c r="S439" s="292" t="str">
        <f t="shared" si="46"/>
        <v>Não Qualificado</v>
      </c>
      <c r="T439" s="292" t="s">
        <v>127</v>
      </c>
      <c r="U439" s="292" t="s">
        <v>4057</v>
      </c>
      <c r="V439" s="292" t="s">
        <v>878</v>
      </c>
      <c r="W439" s="418" t="s">
        <v>3806</v>
      </c>
      <c r="X439" s="418" t="s">
        <v>3806</v>
      </c>
      <c r="Y439" s="418" t="s">
        <v>3806</v>
      </c>
      <c r="Z439" s="418" t="s">
        <v>3806</v>
      </c>
      <c r="AA439" s="418" t="s">
        <v>3806</v>
      </c>
      <c r="AB439" s="418" t="s">
        <v>3806</v>
      </c>
      <c r="AC439" s="418" t="s">
        <v>3806</v>
      </c>
      <c r="AD439" s="418" t="s">
        <v>3806</v>
      </c>
      <c r="AE439" s="418" t="s">
        <v>3806</v>
      </c>
      <c r="AF439" s="418" t="s">
        <v>3806</v>
      </c>
      <c r="AG439" s="418" t="s">
        <v>3806</v>
      </c>
      <c r="AH439" s="418" t="s">
        <v>3806</v>
      </c>
      <c r="AI439" s="418" t="s">
        <v>3806</v>
      </c>
      <c r="AJ439" s="418" t="s">
        <v>3806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2940</v>
      </c>
      <c r="BE439" s="339" t="s">
        <v>2940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3793</v>
      </c>
      <c r="B440" s="104" t="s">
        <v>5081</v>
      </c>
      <c r="C440" s="390" t="s">
        <v>5082</v>
      </c>
      <c r="D440" s="299">
        <v>355180</v>
      </c>
      <c r="E440" s="292" t="s">
        <v>19</v>
      </c>
      <c r="F440" s="292" t="s">
        <v>66</v>
      </c>
      <c r="G440" s="292" t="s">
        <v>316</v>
      </c>
      <c r="H440" s="292" t="str">
        <f>IFERROR(VLOOKUP(G440,'Cadastro de assessores'!A:B,2,FALSE),"Não Cadastrado")</f>
        <v>18009</v>
      </c>
      <c r="I440" s="292"/>
      <c r="J440" s="24" t="s">
        <v>125</v>
      </c>
      <c r="K440" s="292" t="s">
        <v>3802</v>
      </c>
      <c r="L440" s="387">
        <v>44362</v>
      </c>
      <c r="M440" s="387">
        <v>44362</v>
      </c>
      <c r="N440" s="447">
        <v>44489</v>
      </c>
      <c r="O440" s="299" t="s">
        <v>3797</v>
      </c>
      <c r="P440" s="388">
        <v>0.02</v>
      </c>
      <c r="Q440" s="420" t="s">
        <v>5083</v>
      </c>
      <c r="R440" s="417"/>
      <c r="S440" s="292" t="str">
        <f t="shared" si="46"/>
        <v>Não Qualificado</v>
      </c>
      <c r="T440" s="292" t="s">
        <v>127</v>
      </c>
      <c r="U440" s="299" t="s">
        <v>4559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2940</v>
      </c>
      <c r="BE440" s="339" t="s">
        <v>2940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3793</v>
      </c>
      <c r="B441" s="104" t="s">
        <v>5084</v>
      </c>
      <c r="C441" s="122" t="s">
        <v>5085</v>
      </c>
      <c r="D441" s="293">
        <v>396107</v>
      </c>
      <c r="E441" s="293" t="s">
        <v>2931</v>
      </c>
      <c r="F441" s="293" t="s">
        <v>20</v>
      </c>
      <c r="G441" s="293" t="s">
        <v>2931</v>
      </c>
      <c r="H441" s="293" t="str">
        <f>IFERROR(VLOOKUP(G441,'Cadastro de assessores'!A:B,2,FALSE),"Não Cadastrado")</f>
        <v>18986</v>
      </c>
      <c r="I441" s="293"/>
      <c r="J441" s="24" t="s">
        <v>134</v>
      </c>
      <c r="K441" s="293" t="s">
        <v>134</v>
      </c>
      <c r="L441" s="415">
        <v>44193</v>
      </c>
      <c r="M441" s="415">
        <v>44250</v>
      </c>
      <c r="N441" s="292"/>
      <c r="O441" s="292" t="s">
        <v>3803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127</v>
      </c>
      <c r="U441" s="292" t="s">
        <v>3975</v>
      </c>
      <c r="V441" s="292" t="s">
        <v>66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3793</v>
      </c>
      <c r="B442" s="104" t="s">
        <v>5086</v>
      </c>
      <c r="C442" s="122" t="s">
        <v>5087</v>
      </c>
      <c r="D442" s="292">
        <v>4836917</v>
      </c>
      <c r="E442" s="292" t="s">
        <v>2931</v>
      </c>
      <c r="F442" s="292" t="s">
        <v>20</v>
      </c>
      <c r="G442" s="292" t="s">
        <v>2931</v>
      </c>
      <c r="H442" s="292" t="str">
        <f>IFERROR(VLOOKUP(G442,'Cadastro de assessores'!A:B,2,FALSE),"Não Cadastrado")</f>
        <v>18986</v>
      </c>
      <c r="I442" s="292"/>
      <c r="J442" s="24" t="s">
        <v>125</v>
      </c>
      <c r="K442" s="292" t="s">
        <v>3802</v>
      </c>
      <c r="L442" s="387">
        <v>44244</v>
      </c>
      <c r="M442" s="387">
        <v>44244</v>
      </c>
      <c r="N442" s="387">
        <v>44270</v>
      </c>
      <c r="O442" s="292" t="s">
        <v>3803</v>
      </c>
      <c r="P442" s="388">
        <v>1.4999999999999999E-2</v>
      </c>
      <c r="Q442" s="420" t="s">
        <v>4481</v>
      </c>
      <c r="R442" s="417"/>
      <c r="S442" s="292" t="str">
        <f t="shared" si="46"/>
        <v/>
      </c>
      <c r="T442" s="292" t="s">
        <v>127</v>
      </c>
      <c r="U442" s="299" t="s">
        <v>4217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2940</v>
      </c>
      <c r="BE442" s="339" t="s">
        <v>2940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3793</v>
      </c>
      <c r="B443" s="104" t="s">
        <v>5088</v>
      </c>
      <c r="C443" s="122" t="s">
        <v>5089</v>
      </c>
      <c r="D443" s="292">
        <v>4425136</v>
      </c>
      <c r="E443" s="292" t="s">
        <v>19</v>
      </c>
      <c r="F443" s="292" t="s">
        <v>20</v>
      </c>
      <c r="G443" s="292" t="s">
        <v>3801</v>
      </c>
      <c r="H443" s="292" t="str">
        <f>IFERROR(VLOOKUP(G443,'Cadastro de assessores'!A:B,2,FALSE),"Não Cadastrado")</f>
        <v>17679</v>
      </c>
      <c r="I443" s="292"/>
      <c r="J443" s="24" t="s">
        <v>125</v>
      </c>
      <c r="K443" s="292" t="s">
        <v>3802</v>
      </c>
      <c r="L443" s="387">
        <v>44096</v>
      </c>
      <c r="M443" s="387">
        <v>44096</v>
      </c>
      <c r="N443" s="387">
        <v>44448</v>
      </c>
      <c r="O443" s="292" t="s">
        <v>3803</v>
      </c>
      <c r="P443" s="388">
        <v>1.4999999999999999E-2</v>
      </c>
      <c r="Q443" s="420" t="s">
        <v>5090</v>
      </c>
      <c r="R443" s="417"/>
      <c r="S443" s="292" t="str">
        <f t="shared" si="46"/>
        <v/>
      </c>
      <c r="T443" s="292" t="s">
        <v>127</v>
      </c>
      <c r="U443" s="292" t="s">
        <v>3831</v>
      </c>
      <c r="V443" s="292" t="s">
        <v>20</v>
      </c>
      <c r="W443" s="418" t="s">
        <v>3806</v>
      </c>
      <c r="X443" s="418" t="s">
        <v>3806</v>
      </c>
      <c r="Y443" s="418" t="s">
        <v>3806</v>
      </c>
      <c r="Z443" s="418" t="s">
        <v>3806</v>
      </c>
      <c r="AA443" s="418" t="s">
        <v>3806</v>
      </c>
      <c r="AB443" s="418" t="s">
        <v>3806</v>
      </c>
      <c r="AC443" s="418" t="s">
        <v>3806</v>
      </c>
      <c r="AD443" s="418" t="s">
        <v>3806</v>
      </c>
      <c r="AE443" s="418" t="s">
        <v>3806</v>
      </c>
      <c r="AF443" s="418" t="s">
        <v>3806</v>
      </c>
      <c r="AG443" s="418" t="s">
        <v>3806</v>
      </c>
      <c r="AH443" s="418" t="s">
        <v>5091</v>
      </c>
      <c r="AI443" s="418" t="s">
        <v>5092</v>
      </c>
      <c r="AJ443" s="418" t="s">
        <v>5093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2940</v>
      </c>
      <c r="BE443" s="339" t="s">
        <v>2940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3793</v>
      </c>
      <c r="B444" s="104" t="s">
        <v>5094</v>
      </c>
      <c r="C444" s="122" t="s">
        <v>5095</v>
      </c>
      <c r="D444" s="292">
        <v>4655754</v>
      </c>
      <c r="E444" s="293" t="s">
        <v>46</v>
      </c>
      <c r="F444" s="293" t="s">
        <v>20</v>
      </c>
      <c r="G444" s="293" t="s">
        <v>4480</v>
      </c>
      <c r="H444" s="293" t="str">
        <f>IFERROR(VLOOKUP(G444,'Cadastro de assessores'!A:B,2,FALSE),"Não Cadastrado")</f>
        <v>14244</v>
      </c>
      <c r="I444" s="293"/>
      <c r="J444" s="24" t="s">
        <v>3796</v>
      </c>
      <c r="K444" s="293" t="s">
        <v>134</v>
      </c>
      <c r="L444" s="416">
        <v>44173</v>
      </c>
      <c r="M444" s="416">
        <v>44180</v>
      </c>
      <c r="N444" s="292"/>
      <c r="O444" s="292" t="s">
        <v>3803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127</v>
      </c>
      <c r="U444" s="292" t="s">
        <v>3937</v>
      </c>
      <c r="V444" s="292" t="s">
        <v>20</v>
      </c>
      <c r="W444" s="418" t="s">
        <v>3806</v>
      </c>
      <c r="X444" s="418" t="s">
        <v>3806</v>
      </c>
      <c r="Y444" s="418" t="s">
        <v>3806</v>
      </c>
      <c r="Z444" s="418" t="s">
        <v>3806</v>
      </c>
      <c r="AA444" s="418" t="s">
        <v>3806</v>
      </c>
      <c r="AB444" s="418" t="s">
        <v>3806</v>
      </c>
      <c r="AC444" s="418" t="s">
        <v>3806</v>
      </c>
      <c r="AD444" s="418" t="s">
        <v>3806</v>
      </c>
      <c r="AE444" s="418" t="s">
        <v>3806</v>
      </c>
      <c r="AF444" s="418" t="s">
        <v>3806</v>
      </c>
      <c r="AG444" s="418" t="s">
        <v>3806</v>
      </c>
      <c r="AH444" s="418" t="s">
        <v>3806</v>
      </c>
      <c r="AI444" s="418" t="s">
        <v>3806</v>
      </c>
      <c r="AJ444" s="418" t="s">
        <v>3806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3793</v>
      </c>
      <c r="B445" s="104" t="s">
        <v>5096</v>
      </c>
      <c r="C445" s="122" t="s">
        <v>5097</v>
      </c>
      <c r="D445" s="292">
        <v>7782720</v>
      </c>
      <c r="E445" s="293" t="s">
        <v>46</v>
      </c>
      <c r="F445" s="293" t="s">
        <v>20</v>
      </c>
      <c r="G445" s="293" t="s">
        <v>4275</v>
      </c>
      <c r="H445" s="293">
        <f>IFERROR(VLOOKUP(G445,'Cadastro de assessores'!A:B,2,FALSE),"Não Cadastrado")</f>
        <v>12330</v>
      </c>
      <c r="I445" s="293"/>
      <c r="J445" s="24" t="s">
        <v>3796</v>
      </c>
      <c r="K445" s="293" t="s">
        <v>134</v>
      </c>
      <c r="L445" s="423">
        <v>44588</v>
      </c>
      <c r="M445" s="423">
        <v>44595</v>
      </c>
      <c r="N445" s="292"/>
      <c r="O445" s="292" t="s">
        <v>3810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127</v>
      </c>
      <c r="U445" s="292" t="s">
        <v>3931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3793</v>
      </c>
      <c r="B446" s="104" t="s">
        <v>2410</v>
      </c>
      <c r="C446" s="122" t="s">
        <v>5098</v>
      </c>
      <c r="D446" s="292">
        <v>475798</v>
      </c>
      <c r="E446" s="292" t="s">
        <v>19</v>
      </c>
      <c r="F446" s="292" t="s">
        <v>66</v>
      </c>
      <c r="G446" s="292" t="s">
        <v>144</v>
      </c>
      <c r="H446" s="299">
        <v>12331</v>
      </c>
      <c r="I446" s="299"/>
      <c r="J446" s="24" t="s">
        <v>3796</v>
      </c>
      <c r="K446" s="292" t="s">
        <v>134</v>
      </c>
      <c r="L446" s="423">
        <v>44715</v>
      </c>
      <c r="M446" s="423">
        <v>44715</v>
      </c>
      <c r="N446" s="387"/>
      <c r="O446" s="292" t="s">
        <v>3813</v>
      </c>
      <c r="P446" s="388">
        <v>1.2E-2</v>
      </c>
      <c r="Q446" s="420" t="s">
        <v>4092</v>
      </c>
      <c r="R446" s="417"/>
      <c r="S446" s="292"/>
      <c r="T446" s="292" t="s">
        <v>127</v>
      </c>
      <c r="U446" s="292" t="s">
        <v>3849</v>
      </c>
      <c r="V446" s="292" t="s">
        <v>66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2940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3793</v>
      </c>
      <c r="B447" s="104" t="s">
        <v>5099</v>
      </c>
      <c r="C447" s="122" t="s">
        <v>5100</v>
      </c>
      <c r="D447" s="292">
        <v>4493392</v>
      </c>
      <c r="E447" s="292" t="s">
        <v>19</v>
      </c>
      <c r="F447" s="292" t="s">
        <v>20</v>
      </c>
      <c r="G447" s="292" t="s">
        <v>3801</v>
      </c>
      <c r="H447" s="292" t="str">
        <f>IFERROR(VLOOKUP(G447,'Cadastro de assessores'!A:B,2,FALSE),"Não Cadastrado")</f>
        <v>17679</v>
      </c>
      <c r="I447" s="292"/>
      <c r="J447" s="24" t="s">
        <v>125</v>
      </c>
      <c r="K447" s="292" t="s">
        <v>3802</v>
      </c>
      <c r="L447" s="419">
        <v>44147</v>
      </c>
      <c r="M447" s="419">
        <v>44147</v>
      </c>
      <c r="N447" s="387">
        <v>44445</v>
      </c>
      <c r="O447" s="292" t="s">
        <v>3813</v>
      </c>
      <c r="P447" s="388">
        <v>1.2E-2</v>
      </c>
      <c r="Q447" s="420" t="s">
        <v>5101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127</v>
      </c>
      <c r="U447" s="292" t="s">
        <v>4231</v>
      </c>
      <c r="V447" s="292" t="s">
        <v>3653</v>
      </c>
      <c r="W447" s="418" t="s">
        <v>3806</v>
      </c>
      <c r="X447" s="418" t="s">
        <v>3806</v>
      </c>
      <c r="Y447" s="418" t="s">
        <v>3806</v>
      </c>
      <c r="Z447" s="418" t="s">
        <v>3806</v>
      </c>
      <c r="AA447" s="418" t="s">
        <v>3806</v>
      </c>
      <c r="AB447" s="418" t="s">
        <v>3806</v>
      </c>
      <c r="AC447" s="418" t="s">
        <v>3806</v>
      </c>
      <c r="AD447" s="418" t="s">
        <v>3806</v>
      </c>
      <c r="AE447" s="418" t="s">
        <v>3806</v>
      </c>
      <c r="AF447" s="418" t="s">
        <v>3806</v>
      </c>
      <c r="AG447" s="418" t="s">
        <v>3806</v>
      </c>
      <c r="AH447" s="418" t="s">
        <v>3806</v>
      </c>
      <c r="AI447" s="418" t="s">
        <v>3806</v>
      </c>
      <c r="AJ447" s="418" t="s">
        <v>5102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2940</v>
      </c>
      <c r="BE447" s="339" t="s">
        <v>2940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3793</v>
      </c>
      <c r="B448" s="104" t="s">
        <v>5103</v>
      </c>
      <c r="C448" s="122" t="s">
        <v>5104</v>
      </c>
      <c r="D448" s="292">
        <v>4757223</v>
      </c>
      <c r="E448" s="293" t="s">
        <v>19</v>
      </c>
      <c r="F448" s="293" t="s">
        <v>66</v>
      </c>
      <c r="G448" s="293" t="s">
        <v>316</v>
      </c>
      <c r="H448" s="293" t="str">
        <f>IFERROR(VLOOKUP(G448,'Cadastro de assessores'!A:B,2,FALSE),"Não Cadastrado")</f>
        <v>18009</v>
      </c>
      <c r="I448" s="293"/>
      <c r="J448" s="24" t="s">
        <v>3796</v>
      </c>
      <c r="K448" s="293" t="s">
        <v>134</v>
      </c>
      <c r="L448" s="415">
        <v>44210</v>
      </c>
      <c r="M448" s="415">
        <v>44210</v>
      </c>
      <c r="N448" s="292"/>
      <c r="O448" s="292" t="s">
        <v>3803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127</v>
      </c>
      <c r="U448" s="292" t="s">
        <v>4057</v>
      </c>
      <c r="V448" s="292" t="s">
        <v>878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3793</v>
      </c>
      <c r="B449" s="104" t="s">
        <v>5105</v>
      </c>
      <c r="C449" s="122" t="s">
        <v>5106</v>
      </c>
      <c r="D449" s="292">
        <v>4491063</v>
      </c>
      <c r="E449" s="292" t="s">
        <v>19</v>
      </c>
      <c r="F449" s="292" t="s">
        <v>20</v>
      </c>
      <c r="G449" s="292" t="s">
        <v>3801</v>
      </c>
      <c r="H449" s="292" t="str">
        <f>IFERROR(VLOOKUP(G449,'Cadastro de assessores'!A:B,2,FALSE),"Não Cadastrado")</f>
        <v>17679</v>
      </c>
      <c r="I449" s="292"/>
      <c r="J449" s="24" t="s">
        <v>125</v>
      </c>
      <c r="K449" s="292" t="s">
        <v>3802</v>
      </c>
      <c r="L449" s="419">
        <v>44120</v>
      </c>
      <c r="M449" s="419">
        <v>44120</v>
      </c>
      <c r="N449" s="387">
        <v>44452</v>
      </c>
      <c r="O449" s="292" t="s">
        <v>3803</v>
      </c>
      <c r="P449" s="388">
        <v>1.4999999999999999E-2</v>
      </c>
      <c r="Q449" s="420" t="s">
        <v>5107</v>
      </c>
      <c r="R449" s="417"/>
      <c r="S449" s="292" t="str">
        <f t="shared" si="47"/>
        <v>Não Qualificado</v>
      </c>
      <c r="T449" s="292" t="s">
        <v>127</v>
      </c>
      <c r="U449" s="292" t="s">
        <v>3937</v>
      </c>
      <c r="V449" s="292" t="s">
        <v>20</v>
      </c>
      <c r="W449" s="418" t="s">
        <v>3806</v>
      </c>
      <c r="X449" s="418" t="s">
        <v>3806</v>
      </c>
      <c r="Y449" s="418" t="s">
        <v>3806</v>
      </c>
      <c r="Z449" s="418" t="s">
        <v>3806</v>
      </c>
      <c r="AA449" s="418" t="s">
        <v>3806</v>
      </c>
      <c r="AB449" s="418" t="s">
        <v>3806</v>
      </c>
      <c r="AC449" s="418" t="s">
        <v>3806</v>
      </c>
      <c r="AD449" s="418" t="s">
        <v>3806</v>
      </c>
      <c r="AE449" s="418" t="s">
        <v>3806</v>
      </c>
      <c r="AF449" s="418" t="s">
        <v>3806</v>
      </c>
      <c r="AG449" s="418" t="s">
        <v>3806</v>
      </c>
      <c r="AH449" s="418" t="s">
        <v>3806</v>
      </c>
      <c r="AI449" s="418" t="s">
        <v>5108</v>
      </c>
      <c r="AJ449" s="418" t="s">
        <v>5109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2940</v>
      </c>
      <c r="BE449" s="339" t="s">
        <v>2940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3793</v>
      </c>
      <c r="B450" s="104" t="s">
        <v>5110</v>
      </c>
      <c r="C450" s="390" t="s">
        <v>5111</v>
      </c>
      <c r="D450" s="299">
        <v>4740849</v>
      </c>
      <c r="E450" s="292" t="s">
        <v>46</v>
      </c>
      <c r="F450" s="292" t="s">
        <v>20</v>
      </c>
      <c r="G450" s="292" t="s">
        <v>4136</v>
      </c>
      <c r="H450" s="292" t="str">
        <f>IFERROR(VLOOKUP(G450,'Cadastro de assessores'!A:B,2,FALSE),"Não Cadastrado")</f>
        <v>17489</v>
      </c>
      <c r="I450" s="292"/>
      <c r="J450" s="24" t="s">
        <v>125</v>
      </c>
      <c r="K450" s="292" t="s">
        <v>3802</v>
      </c>
      <c r="L450" s="387">
        <v>44320</v>
      </c>
      <c r="M450" s="387">
        <v>44320</v>
      </c>
      <c r="N450" s="387">
        <v>44684</v>
      </c>
      <c r="O450" s="292" t="s">
        <v>3797</v>
      </c>
      <c r="P450" s="388">
        <v>0.02</v>
      </c>
      <c r="Q450" s="167" t="s">
        <v>5112</v>
      </c>
      <c r="R450" s="417"/>
      <c r="S450" s="292" t="str">
        <f t="shared" si="47"/>
        <v/>
      </c>
      <c r="T450" s="292" t="s">
        <v>127</v>
      </c>
      <c r="U450" s="299" t="s">
        <v>3824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2940</v>
      </c>
      <c r="BE450" s="339" t="s">
        <v>2940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3793</v>
      </c>
      <c r="B451" s="104" t="s">
        <v>5113</v>
      </c>
      <c r="C451" s="122" t="s">
        <v>5114</v>
      </c>
      <c r="D451" s="292">
        <v>4441540</v>
      </c>
      <c r="E451" s="292" t="s">
        <v>19</v>
      </c>
      <c r="F451" s="292" t="s">
        <v>20</v>
      </c>
      <c r="G451" s="292" t="s">
        <v>3801</v>
      </c>
      <c r="H451" s="292" t="str">
        <f>IFERROR(VLOOKUP(G451,'Cadastro de assessores'!A:B,2,FALSE),"Não Cadastrado")</f>
        <v>17679</v>
      </c>
      <c r="I451" s="292"/>
      <c r="J451" s="24" t="s">
        <v>125</v>
      </c>
      <c r="K451" s="292" t="s">
        <v>3802</v>
      </c>
      <c r="L451" s="419">
        <v>44133</v>
      </c>
      <c r="M451" s="419">
        <v>44133</v>
      </c>
      <c r="N451" s="387">
        <v>44438</v>
      </c>
      <c r="O451" s="292" t="s">
        <v>3813</v>
      </c>
      <c r="P451" s="388">
        <v>1.2E-2</v>
      </c>
      <c r="Q451" s="420" t="s">
        <v>5115</v>
      </c>
      <c r="R451" s="417"/>
      <c r="S451" s="292" t="str">
        <f t="shared" si="47"/>
        <v>Não Qualificado</v>
      </c>
      <c r="T451" s="292" t="s">
        <v>127</v>
      </c>
      <c r="U451" s="292" t="s">
        <v>3854</v>
      </c>
      <c r="V451" s="292" t="s">
        <v>48</v>
      </c>
      <c r="W451" s="418" t="s">
        <v>3806</v>
      </c>
      <c r="X451" s="418" t="s">
        <v>3806</v>
      </c>
      <c r="Y451" s="418" t="s">
        <v>3806</v>
      </c>
      <c r="Z451" s="418" t="s">
        <v>3806</v>
      </c>
      <c r="AA451" s="418" t="s">
        <v>3806</v>
      </c>
      <c r="AB451" s="418" t="s">
        <v>3806</v>
      </c>
      <c r="AC451" s="418" t="s">
        <v>3806</v>
      </c>
      <c r="AD451" s="418" t="s">
        <v>3806</v>
      </c>
      <c r="AE451" s="418" t="s">
        <v>3806</v>
      </c>
      <c r="AF451" s="418" t="s">
        <v>3806</v>
      </c>
      <c r="AG451" s="418" t="s">
        <v>3806</v>
      </c>
      <c r="AH451" s="418" t="s">
        <v>3806</v>
      </c>
      <c r="AI451" s="418" t="s">
        <v>5116</v>
      </c>
      <c r="AJ451" s="418" t="s">
        <v>5117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2940</v>
      </c>
      <c r="BE451" s="339" t="s">
        <v>2940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3793</v>
      </c>
      <c r="B452" s="104" t="s">
        <v>5118</v>
      </c>
      <c r="C452" s="122" t="s">
        <v>5119</v>
      </c>
      <c r="D452" s="292">
        <v>3615656</v>
      </c>
      <c r="E452" s="292" t="s">
        <v>2931</v>
      </c>
      <c r="F452" s="292" t="s">
        <v>20</v>
      </c>
      <c r="G452" s="292" t="s">
        <v>2931</v>
      </c>
      <c r="H452" s="292" t="str">
        <f>IFERROR(VLOOKUP(G452,'Cadastro de assessores'!A:B,2,FALSE),"Não Cadastrado")</f>
        <v>18986</v>
      </c>
      <c r="I452" s="292"/>
      <c r="J452" s="24" t="s">
        <v>125</v>
      </c>
      <c r="K452" s="292" t="s">
        <v>3802</v>
      </c>
      <c r="L452" s="387">
        <v>43859</v>
      </c>
      <c r="M452" s="387">
        <v>43859</v>
      </c>
      <c r="N452" s="387">
        <v>44305</v>
      </c>
      <c r="O452" s="292" t="s">
        <v>3803</v>
      </c>
      <c r="P452" s="388">
        <v>1.4999999999999999E-2</v>
      </c>
      <c r="Q452" s="420" t="s">
        <v>5057</v>
      </c>
      <c r="R452" s="417"/>
      <c r="S452" s="292" t="str">
        <f t="shared" si="47"/>
        <v>Não Qualificado</v>
      </c>
      <c r="T452" s="292" t="s">
        <v>127</v>
      </c>
      <c r="U452" s="292" t="s">
        <v>5120</v>
      </c>
      <c r="V452" s="292" t="s">
        <v>20</v>
      </c>
      <c r="W452" s="418" t="s">
        <v>3806</v>
      </c>
      <c r="X452" s="418" t="s">
        <v>3806</v>
      </c>
      <c r="Y452" s="418" t="s">
        <v>3806</v>
      </c>
      <c r="Z452" s="418" t="s">
        <v>5121</v>
      </c>
      <c r="AA452" s="418" t="s">
        <v>5122</v>
      </c>
      <c r="AB452" s="418" t="s">
        <v>5123</v>
      </c>
      <c r="AC452" s="418" t="s">
        <v>5124</v>
      </c>
      <c r="AD452" s="418" t="s">
        <v>5125</v>
      </c>
      <c r="AE452" s="418" t="s">
        <v>5126</v>
      </c>
      <c r="AF452" s="418" t="s">
        <v>5127</v>
      </c>
      <c r="AG452" s="418" t="s">
        <v>5128</v>
      </c>
      <c r="AH452" s="418" t="s">
        <v>5129</v>
      </c>
      <c r="AI452" s="418" t="s">
        <v>5130</v>
      </c>
      <c r="AJ452" s="418" t="s">
        <v>5131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2940</v>
      </c>
      <c r="BE452" s="339" t="s">
        <v>2940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3793</v>
      </c>
      <c r="B453" s="104" t="s">
        <v>5132</v>
      </c>
      <c r="C453" s="390" t="s">
        <v>5133</v>
      </c>
      <c r="D453" s="292">
        <v>5892424</v>
      </c>
      <c r="E453" s="292" t="s">
        <v>19</v>
      </c>
      <c r="F453" s="292" t="s">
        <v>66</v>
      </c>
      <c r="G453" s="292" t="s">
        <v>4142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125</v>
      </c>
      <c r="K453" s="292" t="s">
        <v>3802</v>
      </c>
      <c r="L453" s="387">
        <v>44421</v>
      </c>
      <c r="M453" s="387">
        <v>44421</v>
      </c>
      <c r="N453" s="391">
        <v>44817</v>
      </c>
      <c r="O453" s="299" t="s">
        <v>3810</v>
      </c>
      <c r="P453" s="388">
        <v>7.0000000000000001E-3</v>
      </c>
      <c r="Q453" s="167" t="s">
        <v>5134</v>
      </c>
      <c r="R453" s="417"/>
      <c r="S453" s="292" t="str">
        <f t="shared" si="47"/>
        <v>Não Qualificado</v>
      </c>
      <c r="T453" s="292" t="s">
        <v>127</v>
      </c>
      <c r="U453" s="299" t="s">
        <v>5135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3793</v>
      </c>
      <c r="B454" s="104" t="s">
        <v>5136</v>
      </c>
      <c r="C454" s="122" t="s">
        <v>5137</v>
      </c>
      <c r="D454" s="292">
        <v>4362832</v>
      </c>
      <c r="E454" s="292" t="s">
        <v>46</v>
      </c>
      <c r="F454" s="292" t="s">
        <v>20</v>
      </c>
      <c r="G454" s="292" t="s">
        <v>3981</v>
      </c>
      <c r="H454" s="292" t="str">
        <f>IFERROR(VLOOKUP(G454,'Cadastro de assessores'!A:B,2,FALSE),"Não Cadastrado")</f>
        <v>16459</v>
      </c>
      <c r="I454" s="292"/>
      <c r="J454" s="24" t="s">
        <v>125</v>
      </c>
      <c r="K454" s="292" t="s">
        <v>3802</v>
      </c>
      <c r="L454" s="387">
        <v>44078</v>
      </c>
      <c r="M454" s="387">
        <v>44078</v>
      </c>
      <c r="N454" s="391">
        <v>44424</v>
      </c>
      <c r="O454" s="299" t="s">
        <v>3797</v>
      </c>
      <c r="P454" s="388">
        <v>0.02</v>
      </c>
      <c r="Q454" s="420" t="s">
        <v>5138</v>
      </c>
      <c r="R454" s="417"/>
      <c r="S454" s="292" t="str">
        <f t="shared" si="47"/>
        <v>Não Qualificado</v>
      </c>
      <c r="T454" s="292" t="s">
        <v>127</v>
      </c>
      <c r="U454" s="292" t="s">
        <v>3819</v>
      </c>
      <c r="V454" s="292" t="s">
        <v>20</v>
      </c>
      <c r="W454" s="418" t="s">
        <v>3806</v>
      </c>
      <c r="X454" s="418" t="s">
        <v>3806</v>
      </c>
      <c r="Y454" s="418" t="s">
        <v>3806</v>
      </c>
      <c r="Z454" s="418" t="s">
        <v>3806</v>
      </c>
      <c r="AA454" s="418" t="s">
        <v>3806</v>
      </c>
      <c r="AB454" s="418" t="s">
        <v>3806</v>
      </c>
      <c r="AC454" s="418" t="s">
        <v>3806</v>
      </c>
      <c r="AD454" s="418" t="s">
        <v>3806</v>
      </c>
      <c r="AE454" s="418" t="s">
        <v>3806</v>
      </c>
      <c r="AF454" s="418" t="s">
        <v>3806</v>
      </c>
      <c r="AG454" s="418" t="s">
        <v>5139</v>
      </c>
      <c r="AH454" s="418" t="s">
        <v>5140</v>
      </c>
      <c r="AI454" s="418" t="s">
        <v>5141</v>
      </c>
      <c r="AJ454" s="418" t="s">
        <v>5142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2940</v>
      </c>
      <c r="BE454" s="339" t="s">
        <v>2940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3793</v>
      </c>
      <c r="B455" s="104" t="s">
        <v>2456</v>
      </c>
      <c r="C455" s="122" t="s">
        <v>5143</v>
      </c>
      <c r="D455" s="292">
        <v>2365107</v>
      </c>
      <c r="E455" s="292" t="s">
        <v>19</v>
      </c>
      <c r="F455" s="292" t="s">
        <v>66</v>
      </c>
      <c r="G455" s="292" t="s">
        <v>2039</v>
      </c>
      <c r="H455" s="292">
        <f>IFERROR(VLOOKUP(G455,'Cadastro de assessores'!A:B,2,FALSE),"Não Cadastrado")</f>
        <v>12350</v>
      </c>
      <c r="I455" s="292"/>
      <c r="J455" s="24" t="s">
        <v>125</v>
      </c>
      <c r="K455" s="292" t="s">
        <v>145</v>
      </c>
      <c r="L455" s="387">
        <v>44817</v>
      </c>
      <c r="M455" s="387">
        <v>44824</v>
      </c>
      <c r="N455" s="391"/>
      <c r="O455" s="299" t="s">
        <v>3803</v>
      </c>
      <c r="P455" s="388">
        <v>1.4999999999999999E-2</v>
      </c>
      <c r="Q455" s="420" t="s">
        <v>5144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3793</v>
      </c>
      <c r="B456" s="104" t="s">
        <v>2462</v>
      </c>
      <c r="C456" s="390" t="s">
        <v>2460</v>
      </c>
      <c r="D456" s="299">
        <v>2293219</v>
      </c>
      <c r="E456" s="293" t="s">
        <v>19</v>
      </c>
      <c r="F456" s="293" t="s">
        <v>20</v>
      </c>
      <c r="G456" s="293" t="s">
        <v>3080</v>
      </c>
      <c r="H456" s="293" t="str">
        <f>IFERROR(VLOOKUP(G456,'Cadastro de assessores'!A:B,2,FALSE),"Não Cadastrado")</f>
        <v>18236</v>
      </c>
      <c r="I456" s="293"/>
      <c r="J456" s="24" t="s">
        <v>3796</v>
      </c>
      <c r="K456" s="293" t="s">
        <v>134</v>
      </c>
      <c r="L456" s="415">
        <v>44210</v>
      </c>
      <c r="M456" s="415">
        <v>44293</v>
      </c>
      <c r="N456" s="299"/>
      <c r="O456" s="299" t="s">
        <v>3797</v>
      </c>
      <c r="P456" s="388">
        <v>0.02</v>
      </c>
      <c r="Q456" s="167" t="s">
        <v>5145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127</v>
      </c>
      <c r="U456" s="299" t="s">
        <v>5146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3793</v>
      </c>
      <c r="B457" s="104" t="s">
        <v>5147</v>
      </c>
      <c r="C457" s="122" t="s">
        <v>5148</v>
      </c>
      <c r="D457" s="292">
        <v>2523005</v>
      </c>
      <c r="E457" s="293" t="s">
        <v>19</v>
      </c>
      <c r="F457" s="292" t="s">
        <v>66</v>
      </c>
      <c r="G457" s="292" t="s">
        <v>2039</v>
      </c>
      <c r="H457" s="293">
        <f>IFERROR(VLOOKUP(G457,'Cadastro de assessores'!A:B,2,FALSE),"Não Cadastrado")</f>
        <v>12350</v>
      </c>
      <c r="I457" s="292"/>
      <c r="J457" s="24" t="s">
        <v>3796</v>
      </c>
      <c r="K457" s="292"/>
      <c r="L457" s="387"/>
      <c r="M457" s="387">
        <v>44834</v>
      </c>
      <c r="N457" s="419"/>
      <c r="O457" s="292" t="s">
        <v>3810</v>
      </c>
      <c r="P457" s="388">
        <v>0.01</v>
      </c>
      <c r="Q457" s="420" t="s">
        <v>5149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3793</v>
      </c>
      <c r="B458" s="104" t="s">
        <v>5150</v>
      </c>
      <c r="C458" s="122" t="s">
        <v>5151</v>
      </c>
      <c r="D458" s="292">
        <v>4860067</v>
      </c>
      <c r="E458" s="292" t="s">
        <v>19</v>
      </c>
      <c r="F458" s="292" t="s">
        <v>66</v>
      </c>
      <c r="G458" s="292" t="s">
        <v>316</v>
      </c>
      <c r="H458" s="292" t="str">
        <f>IFERROR(VLOOKUP(G458,'Cadastro de assessores'!A:B,2,FALSE),"Não Cadastrado")</f>
        <v>18009</v>
      </c>
      <c r="I458" s="292"/>
      <c r="J458" s="24" t="s">
        <v>125</v>
      </c>
      <c r="K458" s="292" t="s">
        <v>3802</v>
      </c>
      <c r="L458" s="387">
        <v>44259</v>
      </c>
      <c r="M458" s="387">
        <v>44259</v>
      </c>
      <c r="N458" s="419">
        <v>44516</v>
      </c>
      <c r="O458" s="292" t="s">
        <v>3817</v>
      </c>
      <c r="P458" s="388">
        <v>2.5000000000000001E-2</v>
      </c>
      <c r="Q458" s="420" t="s">
        <v>5152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127</v>
      </c>
      <c r="U458" s="292" t="s">
        <v>3854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3154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2940</v>
      </c>
      <c r="BE458" s="339" t="s">
        <v>2940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3793</v>
      </c>
      <c r="B459" s="104" t="s">
        <v>5153</v>
      </c>
      <c r="C459" s="122" t="s">
        <v>5154</v>
      </c>
      <c r="D459" s="292">
        <v>4582050</v>
      </c>
      <c r="E459" s="293" t="s">
        <v>19</v>
      </c>
      <c r="F459" s="293" t="s">
        <v>20</v>
      </c>
      <c r="G459" s="293" t="s">
        <v>3801</v>
      </c>
      <c r="H459" s="293" t="str">
        <f>IFERROR(VLOOKUP(G459,'Cadastro de assessores'!A:B,2,FALSE),"Não Cadastrado")</f>
        <v>17679</v>
      </c>
      <c r="I459" s="293"/>
      <c r="J459" s="24" t="s">
        <v>3796</v>
      </c>
      <c r="K459" s="439" t="s">
        <v>145</v>
      </c>
      <c r="L459" s="292" t="s">
        <v>3154</v>
      </c>
      <c r="M459" s="436" t="s">
        <v>4185</v>
      </c>
      <c r="N459" s="292"/>
      <c r="O459" s="292" t="s">
        <v>3803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127</v>
      </c>
      <c r="U459" s="292" t="s">
        <v>4231</v>
      </c>
      <c r="V459" s="292" t="s">
        <v>3653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3154</v>
      </c>
      <c r="AN459" s="339" t="s">
        <v>3154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2940</v>
      </c>
      <c r="BE459" s="339" t="s">
        <v>2940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3793</v>
      </c>
      <c r="B460" s="104" t="s">
        <v>5155</v>
      </c>
      <c r="C460" s="390" t="s">
        <v>5156</v>
      </c>
      <c r="D460" s="299">
        <v>5080319</v>
      </c>
      <c r="E460" s="293" t="s">
        <v>19</v>
      </c>
      <c r="F460" s="293" t="s">
        <v>66</v>
      </c>
      <c r="G460" s="293" t="s">
        <v>316</v>
      </c>
      <c r="H460" s="293" t="str">
        <f>IFERROR(VLOOKUP(G460,'Cadastro de assessores'!A:B,2,FALSE),"Não Cadastrado")</f>
        <v>18009</v>
      </c>
      <c r="I460" s="293"/>
      <c r="J460" s="24" t="s">
        <v>3796</v>
      </c>
      <c r="K460" s="439" t="s">
        <v>134</v>
      </c>
      <c r="L460" s="415">
        <v>44298</v>
      </c>
      <c r="M460" s="415">
        <v>44298</v>
      </c>
      <c r="N460" s="292"/>
      <c r="O460" s="292" t="s">
        <v>3803</v>
      </c>
      <c r="P460" s="388">
        <v>1.4999999999999999E-2</v>
      </c>
      <c r="Q460" s="167" t="s">
        <v>4505</v>
      </c>
      <c r="R460" s="417"/>
      <c r="S460" s="292" t="str">
        <f t="shared" si="48"/>
        <v/>
      </c>
      <c r="T460" s="292" t="s">
        <v>127</v>
      </c>
      <c r="U460" s="292" t="s">
        <v>3854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3793</v>
      </c>
      <c r="B461" s="104" t="s">
        <v>2494</v>
      </c>
      <c r="C461" s="441" t="s">
        <v>2492</v>
      </c>
      <c r="D461" s="426">
        <v>7336791</v>
      </c>
      <c r="E461" s="293" t="s">
        <v>19</v>
      </c>
      <c r="F461" s="293" t="s">
        <v>66</v>
      </c>
      <c r="G461" s="426" t="s">
        <v>265</v>
      </c>
      <c r="H461" s="293" t="str">
        <f>IFERROR(VLOOKUP(G461,'Cadastro de assessores'!A:B,2,FALSE),"Não Cadastrado")</f>
        <v>17831</v>
      </c>
      <c r="I461" s="293"/>
      <c r="J461" s="24" t="s">
        <v>3796</v>
      </c>
      <c r="K461" s="292" t="s">
        <v>134</v>
      </c>
      <c r="L461" s="416">
        <v>44543</v>
      </c>
      <c r="M461" s="416">
        <v>44544</v>
      </c>
      <c r="N461" s="426"/>
      <c r="O461" s="426" t="s">
        <v>3813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127</v>
      </c>
      <c r="U461" s="299" t="s">
        <v>3975</v>
      </c>
      <c r="V461" s="299" t="s">
        <v>66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3793</v>
      </c>
      <c r="B462" s="104" t="s">
        <v>5157</v>
      </c>
      <c r="C462" s="122" t="s">
        <v>5158</v>
      </c>
      <c r="D462" s="292">
        <v>4486837</v>
      </c>
      <c r="E462" s="292" t="s">
        <v>19</v>
      </c>
      <c r="F462" s="292" t="s">
        <v>20</v>
      </c>
      <c r="G462" s="292" t="s">
        <v>3801</v>
      </c>
      <c r="H462" s="292" t="str">
        <f>IFERROR(VLOOKUP(G462,'Cadastro de assessores'!A:B,2,FALSE),"Não Cadastrado")</f>
        <v>17679</v>
      </c>
      <c r="I462" s="292"/>
      <c r="J462" s="24" t="s">
        <v>125</v>
      </c>
      <c r="K462" s="292" t="s">
        <v>3802</v>
      </c>
      <c r="L462" s="419">
        <v>44148</v>
      </c>
      <c r="M462" s="419">
        <v>44148</v>
      </c>
      <c r="N462" s="387">
        <v>44425</v>
      </c>
      <c r="O462" s="292" t="s">
        <v>3803</v>
      </c>
      <c r="P462" s="388">
        <v>1.4999999999999999E-2</v>
      </c>
      <c r="Q462" s="420" t="s">
        <v>5159</v>
      </c>
      <c r="R462" s="417"/>
      <c r="S462" s="292" t="str">
        <f t="shared" si="48"/>
        <v>Não Qualificado</v>
      </c>
      <c r="T462" s="292" t="s">
        <v>127</v>
      </c>
      <c r="U462" s="292" t="s">
        <v>3941</v>
      </c>
      <c r="V462" s="292" t="s">
        <v>20</v>
      </c>
      <c r="W462" s="418" t="s">
        <v>3806</v>
      </c>
      <c r="X462" s="418" t="s">
        <v>3806</v>
      </c>
      <c r="Y462" s="418" t="s">
        <v>3806</v>
      </c>
      <c r="Z462" s="418" t="s">
        <v>3806</v>
      </c>
      <c r="AA462" s="418" t="s">
        <v>3806</v>
      </c>
      <c r="AB462" s="418" t="s">
        <v>3806</v>
      </c>
      <c r="AC462" s="418" t="s">
        <v>3806</v>
      </c>
      <c r="AD462" s="418" t="s">
        <v>3806</v>
      </c>
      <c r="AE462" s="418" t="s">
        <v>3806</v>
      </c>
      <c r="AF462" s="418" t="s">
        <v>3806</v>
      </c>
      <c r="AG462" s="418" t="s">
        <v>3806</v>
      </c>
      <c r="AH462" s="418" t="s">
        <v>3806</v>
      </c>
      <c r="AI462" s="418" t="s">
        <v>3806</v>
      </c>
      <c r="AJ462" s="418" t="s">
        <v>5160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2940</v>
      </c>
      <c r="BE462" s="339" t="s">
        <v>2940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3793</v>
      </c>
      <c r="B463" s="104" t="s">
        <v>2505</v>
      </c>
      <c r="C463" s="390" t="s">
        <v>5161</v>
      </c>
      <c r="D463" s="299">
        <v>7518857</v>
      </c>
      <c r="E463" s="293" t="s">
        <v>19</v>
      </c>
      <c r="F463" s="293" t="s">
        <v>20</v>
      </c>
      <c r="G463" s="293" t="s">
        <v>360</v>
      </c>
      <c r="H463" s="292">
        <f>IFERROR(VLOOKUP(G463,'Cadastro de assessores'!A:B,2,FALSE),"Não Cadastrado")</f>
        <v>12359</v>
      </c>
      <c r="I463" s="292"/>
      <c r="J463" s="24" t="s">
        <v>3796</v>
      </c>
      <c r="K463" s="292" t="s">
        <v>134</v>
      </c>
      <c r="L463" s="415">
        <v>44791</v>
      </c>
      <c r="M463" s="415">
        <v>44792</v>
      </c>
      <c r="N463" s="299"/>
      <c r="O463" s="299" t="s">
        <v>3813</v>
      </c>
      <c r="P463" s="388">
        <v>1.2E-2</v>
      </c>
      <c r="Q463" s="446" t="s">
        <v>4403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3793</v>
      </c>
      <c r="B464" s="104" t="s">
        <v>2519</v>
      </c>
      <c r="C464" s="390" t="s">
        <v>2516</v>
      </c>
      <c r="D464" s="299">
        <v>5648950</v>
      </c>
      <c r="E464" s="293" t="s">
        <v>19</v>
      </c>
      <c r="F464" s="293" t="s">
        <v>20</v>
      </c>
      <c r="G464" s="293" t="s">
        <v>2518</v>
      </c>
      <c r="H464" s="293" t="str">
        <f>IFERROR(VLOOKUP(G464,'Cadastro de assessores'!A:B,2,FALSE),"Não Cadastrado")</f>
        <v>18256</v>
      </c>
      <c r="I464" s="293"/>
      <c r="J464" s="24" t="s">
        <v>3796</v>
      </c>
      <c r="K464" s="292" t="s">
        <v>134</v>
      </c>
      <c r="L464" s="415">
        <v>44365</v>
      </c>
      <c r="M464" s="415">
        <v>44365</v>
      </c>
      <c r="N464" s="299"/>
      <c r="O464" s="299" t="s">
        <v>3797</v>
      </c>
      <c r="P464" s="388">
        <v>1.9E-2</v>
      </c>
      <c r="Q464" s="167" t="s">
        <v>3886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127</v>
      </c>
      <c r="U464" s="299" t="s">
        <v>3824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3793</v>
      </c>
      <c r="B465" s="104" t="s">
        <v>5162</v>
      </c>
      <c r="C465" s="390" t="s">
        <v>5163</v>
      </c>
      <c r="D465" s="299">
        <v>6320705</v>
      </c>
      <c r="E465" s="293" t="s">
        <v>46</v>
      </c>
      <c r="F465" s="293" t="s">
        <v>20</v>
      </c>
      <c r="G465" s="293" t="s">
        <v>3855</v>
      </c>
      <c r="H465" s="293" t="str">
        <f>IFERROR(VLOOKUP(G465,'Cadastro de assessores'!A:B,2,FALSE),"Não Cadastrado")</f>
        <v>12624</v>
      </c>
      <c r="I465" s="293"/>
      <c r="J465" s="24" t="s">
        <v>3796</v>
      </c>
      <c r="K465" s="292" t="s">
        <v>134</v>
      </c>
      <c r="L465" s="415">
        <v>44421</v>
      </c>
      <c r="M465" s="415">
        <v>44421</v>
      </c>
      <c r="N465" s="299"/>
      <c r="O465" s="299" t="s">
        <v>3817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127</v>
      </c>
      <c r="U465" s="292" t="s">
        <v>3937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3793</v>
      </c>
      <c r="B466" s="104" t="s">
        <v>2525</v>
      </c>
      <c r="C466" s="390" t="s">
        <v>5164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3796</v>
      </c>
      <c r="K466" s="439" t="s">
        <v>145</v>
      </c>
      <c r="L466" s="292" t="s">
        <v>3154</v>
      </c>
      <c r="M466" s="436" t="s">
        <v>4185</v>
      </c>
      <c r="N466" s="426"/>
      <c r="O466" s="426" t="s">
        <v>3817</v>
      </c>
      <c r="P466" s="388">
        <v>2.5000000000000001E-2</v>
      </c>
      <c r="Q466" s="311" t="s">
        <v>5165</v>
      </c>
      <c r="R466" s="417"/>
      <c r="S466" s="292" t="str">
        <f t="shared" si="49"/>
        <v>Não Qualificado</v>
      </c>
      <c r="T466" s="292" t="s">
        <v>127</v>
      </c>
      <c r="U466" s="292" t="s">
        <v>3937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2940</v>
      </c>
      <c r="BE466" s="339" t="s">
        <v>2940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3793</v>
      </c>
      <c r="B467" s="104" t="s">
        <v>2525</v>
      </c>
      <c r="C467" s="390" t="s">
        <v>5164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134</v>
      </c>
      <c r="K467" s="292" t="s">
        <v>134</v>
      </c>
      <c r="L467" s="415">
        <v>44557</v>
      </c>
      <c r="M467" s="415">
        <v>44557</v>
      </c>
      <c r="N467" s="426"/>
      <c r="O467" s="426" t="s">
        <v>3810</v>
      </c>
      <c r="P467" s="388">
        <v>7.0000000000000001E-3</v>
      </c>
      <c r="Q467" s="311" t="s">
        <v>5165</v>
      </c>
      <c r="R467" s="417"/>
      <c r="S467" s="292" t="str">
        <f t="shared" si="49"/>
        <v>Não Qualificado</v>
      </c>
      <c r="T467" s="292" t="s">
        <v>127</v>
      </c>
      <c r="U467" s="292" t="s">
        <v>3937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3793</v>
      </c>
      <c r="B468" s="104" t="s">
        <v>5166</v>
      </c>
      <c r="C468" s="390" t="s">
        <v>5167</v>
      </c>
      <c r="D468" s="299">
        <v>4841428</v>
      </c>
      <c r="E468" s="293" t="s">
        <v>19</v>
      </c>
      <c r="F468" s="293" t="s">
        <v>20</v>
      </c>
      <c r="G468" s="293" t="s">
        <v>3166</v>
      </c>
      <c r="H468" s="293" t="str">
        <f>IFERROR(VLOOKUP(G468,'Cadastro de assessores'!A:B,2,FALSE),"Não Cadastrado")</f>
        <v>13444</v>
      </c>
      <c r="I468" s="293"/>
      <c r="J468" s="24" t="s">
        <v>3796</v>
      </c>
      <c r="K468" s="292" t="s">
        <v>134</v>
      </c>
      <c r="L468" s="415">
        <v>44370</v>
      </c>
      <c r="M468" s="415">
        <v>44372</v>
      </c>
      <c r="N468" s="299"/>
      <c r="O468" s="299" t="s">
        <v>4027</v>
      </c>
      <c r="P468" s="388">
        <v>0.02</v>
      </c>
      <c r="Q468" s="167"/>
      <c r="R468" s="417"/>
      <c r="S468" s="292" t="str">
        <f t="shared" si="49"/>
        <v/>
      </c>
      <c r="T468" s="292" t="s">
        <v>127</v>
      </c>
      <c r="U468" s="299" t="s">
        <v>4028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3793</v>
      </c>
      <c r="B469" s="104" t="s">
        <v>5168</v>
      </c>
      <c r="C469" s="122" t="s">
        <v>5169</v>
      </c>
      <c r="D469" s="292">
        <v>4681272</v>
      </c>
      <c r="E469" s="293" t="s">
        <v>46</v>
      </c>
      <c r="F469" s="293" t="s">
        <v>20</v>
      </c>
      <c r="G469" s="293" t="s">
        <v>3640</v>
      </c>
      <c r="H469" s="293" t="str">
        <f>IFERROR(VLOOKUP(G469,'Cadastro de assessores'!A:B,2,FALSE),"Não Cadastrado")</f>
        <v>14574</v>
      </c>
      <c r="I469" s="293"/>
      <c r="J469" s="24" t="s">
        <v>125</v>
      </c>
      <c r="K469" s="292" t="s">
        <v>134</v>
      </c>
      <c r="L469" s="416">
        <v>44186</v>
      </c>
      <c r="M469" s="416">
        <v>44186</v>
      </c>
      <c r="N469" s="391">
        <v>44901</v>
      </c>
      <c r="O469" s="299" t="s">
        <v>3797</v>
      </c>
      <c r="P469" s="388">
        <v>0.02</v>
      </c>
      <c r="Q469" s="420" t="s">
        <v>5170</v>
      </c>
      <c r="R469" s="417"/>
      <c r="S469" s="292" t="str">
        <f t="shared" si="49"/>
        <v>Não Qualificado</v>
      </c>
      <c r="T469" s="292" t="s">
        <v>127</v>
      </c>
      <c r="U469" s="292" t="s">
        <v>5171</v>
      </c>
      <c r="V469" s="292" t="s">
        <v>5172</v>
      </c>
      <c r="W469" s="418" t="s">
        <v>3806</v>
      </c>
      <c r="X469" s="418" t="s">
        <v>3806</v>
      </c>
      <c r="Y469" s="418" t="s">
        <v>3806</v>
      </c>
      <c r="Z469" s="418" t="s">
        <v>3806</v>
      </c>
      <c r="AA469" s="418" t="s">
        <v>3806</v>
      </c>
      <c r="AB469" s="418" t="s">
        <v>3806</v>
      </c>
      <c r="AC469" s="418" t="s">
        <v>3806</v>
      </c>
      <c r="AD469" s="418" t="s">
        <v>3806</v>
      </c>
      <c r="AE469" s="418" t="s">
        <v>3806</v>
      </c>
      <c r="AF469" s="418" t="s">
        <v>3806</v>
      </c>
      <c r="AG469" s="418" t="s">
        <v>3806</v>
      </c>
      <c r="AH469" s="418" t="s">
        <v>3806</v>
      </c>
      <c r="AI469" s="418" t="s">
        <v>3806</v>
      </c>
      <c r="AJ469" s="418" t="s">
        <v>3806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3793</v>
      </c>
      <c r="B470" s="104" t="s">
        <v>2540</v>
      </c>
      <c r="C470" s="390" t="s">
        <v>5173</v>
      </c>
      <c r="D470" s="299">
        <v>3658320</v>
      </c>
      <c r="E470" s="293" t="s">
        <v>19</v>
      </c>
      <c r="F470" s="293" t="s">
        <v>20</v>
      </c>
      <c r="G470" s="299" t="s">
        <v>360</v>
      </c>
      <c r="H470" s="299">
        <f>IFERROR(VLOOKUP(G470,'Cadastro de assessores'!A:B,2,FALSE),"Não Cadastrado")</f>
        <v>12359</v>
      </c>
      <c r="I470" s="299"/>
      <c r="J470" s="24" t="s">
        <v>3796</v>
      </c>
      <c r="K470" s="292" t="s">
        <v>134</v>
      </c>
      <c r="L470" s="416">
        <v>44704</v>
      </c>
      <c r="M470" s="416">
        <v>44704</v>
      </c>
      <c r="N470" s="292"/>
      <c r="O470" s="292" t="s">
        <v>3813</v>
      </c>
      <c r="P470" s="388">
        <v>1.2E-2</v>
      </c>
      <c r="Q470" s="446" t="s">
        <v>4403</v>
      </c>
      <c r="R470" s="417"/>
      <c r="S470" s="292"/>
      <c r="T470" s="292" t="s">
        <v>127</v>
      </c>
      <c r="U470" s="292" t="s">
        <v>3824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3793</v>
      </c>
      <c r="B471" s="104" t="s">
        <v>2546</v>
      </c>
      <c r="C471" s="122" t="s">
        <v>2544</v>
      </c>
      <c r="D471" s="292">
        <v>4559307</v>
      </c>
      <c r="E471" s="293" t="s">
        <v>46</v>
      </c>
      <c r="F471" s="293" t="s">
        <v>20</v>
      </c>
      <c r="G471" s="293" t="s">
        <v>3870</v>
      </c>
      <c r="H471" s="293" t="str">
        <f>IFERROR(VLOOKUP(G471,'Cadastro de assessores'!A:B,2,FALSE),"Não Cadastrado")</f>
        <v>1298</v>
      </c>
      <c r="I471" s="293"/>
      <c r="J471" s="24" t="s">
        <v>3796</v>
      </c>
      <c r="K471" s="292" t="s">
        <v>134</v>
      </c>
      <c r="L471" s="416">
        <v>44151</v>
      </c>
      <c r="M471" s="416">
        <v>44151</v>
      </c>
      <c r="N471" s="292"/>
      <c r="O471" s="292" t="s">
        <v>3803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127</v>
      </c>
      <c r="U471" s="292" t="s">
        <v>3805</v>
      </c>
      <c r="V471" s="292" t="s">
        <v>20</v>
      </c>
      <c r="W471" s="418" t="s">
        <v>3806</v>
      </c>
      <c r="X471" s="418" t="s">
        <v>3806</v>
      </c>
      <c r="Y471" s="418" t="s">
        <v>3806</v>
      </c>
      <c r="Z471" s="418" t="s">
        <v>3806</v>
      </c>
      <c r="AA471" s="418" t="s">
        <v>3806</v>
      </c>
      <c r="AB471" s="418" t="s">
        <v>3806</v>
      </c>
      <c r="AC471" s="418" t="s">
        <v>3806</v>
      </c>
      <c r="AD471" s="418" t="s">
        <v>3806</v>
      </c>
      <c r="AE471" s="418" t="s">
        <v>3806</v>
      </c>
      <c r="AF471" s="418" t="s">
        <v>3806</v>
      </c>
      <c r="AG471" s="418" t="s">
        <v>3806</v>
      </c>
      <c r="AH471" s="418" t="s">
        <v>3806</v>
      </c>
      <c r="AI471" s="418" t="s">
        <v>3806</v>
      </c>
      <c r="AJ471" s="418" t="s">
        <v>5174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3793</v>
      </c>
      <c r="B472" s="104" t="s">
        <v>2557</v>
      </c>
      <c r="C472" s="390" t="s">
        <v>2554</v>
      </c>
      <c r="D472" s="299">
        <v>3677198</v>
      </c>
      <c r="E472" s="293" t="s">
        <v>19</v>
      </c>
      <c r="F472" s="293" t="s">
        <v>66</v>
      </c>
      <c r="G472" s="293" t="s">
        <v>144</v>
      </c>
      <c r="H472" s="293">
        <f>IFERROR(VLOOKUP(G472,'Cadastro de assessores'!A:B,2,FALSE),"Não Cadastrado")</f>
        <v>12331</v>
      </c>
      <c r="I472" s="293"/>
      <c r="J472" s="24" t="s">
        <v>3796</v>
      </c>
      <c r="K472" s="292" t="s">
        <v>134</v>
      </c>
      <c r="L472" s="416">
        <v>44784</v>
      </c>
      <c r="M472" s="416">
        <v>44784</v>
      </c>
      <c r="N472" s="292"/>
      <c r="O472" s="292" t="s">
        <v>3813</v>
      </c>
      <c r="P472" s="388">
        <v>1.2E-2</v>
      </c>
      <c r="Q472" s="420" t="s">
        <v>5175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3793</v>
      </c>
      <c r="B473" s="104" t="s">
        <v>5176</v>
      </c>
      <c r="C473" s="122" t="s">
        <v>5177</v>
      </c>
      <c r="D473" s="292">
        <v>2645505</v>
      </c>
      <c r="E473" s="292" t="s">
        <v>2931</v>
      </c>
      <c r="F473" s="292" t="s">
        <v>20</v>
      </c>
      <c r="G473" s="292" t="s">
        <v>2931</v>
      </c>
      <c r="H473" s="292" t="str">
        <f>IFERROR(VLOOKUP(G473,'Cadastro de assessores'!A:B,2,FALSE),"Não Cadastrado")</f>
        <v>18986</v>
      </c>
      <c r="I473" s="292"/>
      <c r="J473" s="24" t="s">
        <v>125</v>
      </c>
      <c r="K473" s="292" t="s">
        <v>3802</v>
      </c>
      <c r="L473" s="387">
        <v>43684</v>
      </c>
      <c r="M473" s="387">
        <v>43684</v>
      </c>
      <c r="N473" s="387">
        <v>43924</v>
      </c>
      <c r="O473" s="292" t="s">
        <v>3803</v>
      </c>
      <c r="P473" s="388">
        <v>0.01</v>
      </c>
      <c r="Q473" s="420" t="s">
        <v>5178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127</v>
      </c>
      <c r="U473" s="292" t="s">
        <v>3819</v>
      </c>
      <c r="V473" s="292" t="s">
        <v>20</v>
      </c>
      <c r="W473" s="418" t="s">
        <v>5179</v>
      </c>
      <c r="X473" s="418"/>
      <c r="Y473" s="418" t="s">
        <v>5180</v>
      </c>
      <c r="Z473" s="418" t="s">
        <v>5181</v>
      </c>
      <c r="AA473" s="418" t="s">
        <v>5182</v>
      </c>
      <c r="AB473" s="418" t="s">
        <v>5183</v>
      </c>
      <c r="AC473" s="418" t="s">
        <v>3806</v>
      </c>
      <c r="AD473" s="418" t="s">
        <v>3806</v>
      </c>
      <c r="AE473" s="418" t="s">
        <v>3806</v>
      </c>
      <c r="AF473" s="418" t="s">
        <v>3806</v>
      </c>
      <c r="AG473" s="418" t="s">
        <v>3806</v>
      </c>
      <c r="AH473" s="418"/>
      <c r="AI473" s="418" t="s">
        <v>3806</v>
      </c>
      <c r="AJ473" s="418"/>
      <c r="AK473" s="339"/>
      <c r="AL473" s="339"/>
      <c r="AM473" s="339" t="s">
        <v>3154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2940</v>
      </c>
      <c r="BE473" s="339" t="s">
        <v>2940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3793</v>
      </c>
      <c r="B474" s="104" t="s">
        <v>5184</v>
      </c>
      <c r="C474" s="122" t="s">
        <v>5185</v>
      </c>
      <c r="D474" s="292">
        <v>2289902</v>
      </c>
      <c r="E474" s="292" t="s">
        <v>19</v>
      </c>
      <c r="F474" s="292" t="s">
        <v>66</v>
      </c>
      <c r="G474" s="292" t="s">
        <v>67</v>
      </c>
      <c r="H474" s="292">
        <v>18890</v>
      </c>
      <c r="I474" s="292"/>
      <c r="J474" s="24" t="s">
        <v>3796</v>
      </c>
      <c r="K474" s="292" t="s">
        <v>145</v>
      </c>
      <c r="L474" s="292" t="s">
        <v>3154</v>
      </c>
      <c r="M474" s="387"/>
      <c r="N474" s="387"/>
      <c r="O474" s="292" t="s">
        <v>3813</v>
      </c>
      <c r="P474" s="388">
        <v>1.2E-2</v>
      </c>
      <c r="Q474" s="420" t="s">
        <v>5186</v>
      </c>
      <c r="R474" s="417"/>
      <c r="S474" s="292"/>
      <c r="T474" s="292" t="s">
        <v>127</v>
      </c>
      <c r="U474" s="292" t="s">
        <v>5187</v>
      </c>
      <c r="V474" s="292" t="s">
        <v>5188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2940</v>
      </c>
      <c r="BE474" s="339" t="s">
        <v>2940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3793</v>
      </c>
      <c r="B475" s="104" t="s">
        <v>5189</v>
      </c>
      <c r="C475" s="122" t="s">
        <v>5190</v>
      </c>
      <c r="D475" s="292">
        <v>4837403</v>
      </c>
      <c r="E475" s="292" t="s">
        <v>46</v>
      </c>
      <c r="F475" s="292" t="s">
        <v>20</v>
      </c>
      <c r="G475" s="292" t="s">
        <v>4066</v>
      </c>
      <c r="H475" s="292" t="str">
        <f>IFERROR(VLOOKUP(G475,'Cadastro de assessores'!A:B,2,FALSE),"Não Cadastrado")</f>
        <v>19634</v>
      </c>
      <c r="I475" s="292"/>
      <c r="J475" s="24" t="s">
        <v>125</v>
      </c>
      <c r="K475" s="292" t="s">
        <v>3802</v>
      </c>
      <c r="L475" s="387">
        <v>44250</v>
      </c>
      <c r="M475" s="387">
        <v>44250</v>
      </c>
      <c r="N475" s="391">
        <v>44452</v>
      </c>
      <c r="O475" s="299" t="s">
        <v>3850</v>
      </c>
      <c r="P475" s="388">
        <v>8.0000000000000002E-3</v>
      </c>
      <c r="Q475" s="420" t="s">
        <v>5107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127</v>
      </c>
      <c r="U475" s="292" t="s">
        <v>3819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2940</v>
      </c>
      <c r="BE475" s="339" t="s">
        <v>2940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3793</v>
      </c>
      <c r="B476" s="104" t="s">
        <v>2560</v>
      </c>
      <c r="C476" s="122" t="s">
        <v>2558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3796</v>
      </c>
      <c r="K476" s="293" t="s">
        <v>134</v>
      </c>
      <c r="L476" s="415">
        <v>44257</v>
      </c>
      <c r="M476" s="415">
        <v>44257</v>
      </c>
      <c r="N476" s="299"/>
      <c r="O476" s="299" t="s">
        <v>3797</v>
      </c>
      <c r="P476" s="388">
        <v>0.02</v>
      </c>
      <c r="Q476" s="420" t="s">
        <v>5191</v>
      </c>
      <c r="R476" s="417"/>
      <c r="S476" s="292" t="str">
        <f t="shared" si="50"/>
        <v>Não Qualificado</v>
      </c>
      <c r="T476" s="292" t="s">
        <v>127</v>
      </c>
      <c r="U476" s="292" t="s">
        <v>4186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3793</v>
      </c>
      <c r="B477" s="104" t="s">
        <v>5192</v>
      </c>
      <c r="C477" s="122" t="s">
        <v>5193</v>
      </c>
      <c r="D477" s="292">
        <v>2405046</v>
      </c>
      <c r="E477" s="292" t="s">
        <v>19</v>
      </c>
      <c r="F477" s="292" t="s">
        <v>20</v>
      </c>
      <c r="G477" s="292" t="s">
        <v>5194</v>
      </c>
      <c r="H477" s="292" t="str">
        <f>IFERROR(VLOOKUP(G477,'Cadastro de assessores'!A:B,2,FALSE),"Não Cadastrado")</f>
        <v>14320</v>
      </c>
      <c r="I477" s="292"/>
      <c r="J477" s="24" t="s">
        <v>125</v>
      </c>
      <c r="K477" s="292" t="s">
        <v>3802</v>
      </c>
      <c r="L477" s="387">
        <v>43777</v>
      </c>
      <c r="M477" s="387">
        <v>43777</v>
      </c>
      <c r="N477" s="465">
        <v>44105</v>
      </c>
      <c r="O477" s="292" t="s">
        <v>4615</v>
      </c>
      <c r="P477" s="388">
        <v>0.02</v>
      </c>
      <c r="Q477" s="420" t="s">
        <v>5195</v>
      </c>
      <c r="R477" s="417"/>
      <c r="S477" s="292" t="str">
        <f t="shared" si="50"/>
        <v/>
      </c>
      <c r="T477" s="292" t="s">
        <v>127</v>
      </c>
      <c r="U477" s="292" t="s">
        <v>3999</v>
      </c>
      <c r="V477" s="292" t="s">
        <v>20</v>
      </c>
      <c r="W477" s="418" t="s">
        <v>5196</v>
      </c>
      <c r="X477" s="418"/>
      <c r="Y477" s="418" t="s">
        <v>5197</v>
      </c>
      <c r="Z477" s="418" t="s">
        <v>5198</v>
      </c>
      <c r="AA477" s="418" t="s">
        <v>5199</v>
      </c>
      <c r="AB477" s="418" t="s">
        <v>5200</v>
      </c>
      <c r="AC477" s="418" t="s">
        <v>5201</v>
      </c>
      <c r="AD477" s="418" t="s">
        <v>5202</v>
      </c>
      <c r="AE477" s="418" t="s">
        <v>5203</v>
      </c>
      <c r="AF477" s="418" t="s">
        <v>5204</v>
      </c>
      <c r="AG477" s="418" t="s">
        <v>5205</v>
      </c>
      <c r="AH477" s="418" t="s">
        <v>5206</v>
      </c>
      <c r="AI477" s="418" t="s">
        <v>5207</v>
      </c>
      <c r="AJ477" s="418"/>
      <c r="AK477" s="339"/>
      <c r="AL477" s="339"/>
      <c r="AM477" s="339" t="s">
        <v>3154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2940</v>
      </c>
      <c r="BE477" s="339" t="s">
        <v>2940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3793</v>
      </c>
      <c r="B478" s="104" t="s">
        <v>5208</v>
      </c>
      <c r="C478" s="390" t="s">
        <v>5209</v>
      </c>
      <c r="D478" s="299">
        <v>4460007</v>
      </c>
      <c r="E478" s="293" t="s">
        <v>19</v>
      </c>
      <c r="F478" s="293" t="s">
        <v>20</v>
      </c>
      <c r="G478" s="293" t="s">
        <v>3166</v>
      </c>
      <c r="H478" s="293" t="str">
        <f>IFERROR(VLOOKUP(G478,'Cadastro de assessores'!A:B,2,FALSE),"Não Cadastrado")</f>
        <v>13444</v>
      </c>
      <c r="I478" s="293"/>
      <c r="J478" s="24" t="s">
        <v>3796</v>
      </c>
      <c r="K478" s="293" t="s">
        <v>134</v>
      </c>
      <c r="L478" s="415">
        <v>44372</v>
      </c>
      <c r="M478" s="415">
        <v>44372</v>
      </c>
      <c r="N478" s="299"/>
      <c r="O478" s="299" t="s">
        <v>4027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171</v>
      </c>
      <c r="U478" s="299" t="s">
        <v>4028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3793</v>
      </c>
      <c r="B479" s="104" t="s">
        <v>2566</v>
      </c>
      <c r="C479" s="390" t="s">
        <v>5210</v>
      </c>
      <c r="D479" s="299">
        <v>8419053</v>
      </c>
      <c r="E479" s="293" t="s">
        <v>19</v>
      </c>
      <c r="F479" s="293" t="s">
        <v>66</v>
      </c>
      <c r="G479" s="299" t="s">
        <v>265</v>
      </c>
      <c r="H479" s="299" t="str">
        <f>IFERROR(VLOOKUP(G479,'Cadastro de assessores'!A:B,2,FALSE),"Não Cadastrado")</f>
        <v>17831</v>
      </c>
      <c r="I479" s="299"/>
      <c r="J479" s="24" t="s">
        <v>3796</v>
      </c>
      <c r="K479" s="439" t="s">
        <v>145</v>
      </c>
      <c r="L479" s="292" t="s">
        <v>3154</v>
      </c>
      <c r="M479" s="436" t="s">
        <v>4185</v>
      </c>
      <c r="N479" s="299"/>
      <c r="O479" s="299" t="s">
        <v>3813</v>
      </c>
      <c r="P479" s="388">
        <v>1.2E-2</v>
      </c>
      <c r="Q479" s="420"/>
      <c r="R479" s="417"/>
      <c r="S479" s="292"/>
      <c r="T479" s="292" t="s">
        <v>127</v>
      </c>
      <c r="U479" s="292" t="s">
        <v>3849</v>
      </c>
      <c r="V479" s="292" t="s">
        <v>66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2940</v>
      </c>
      <c r="BE479" s="339" t="s">
        <v>2940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3793</v>
      </c>
      <c r="B480" s="104" t="s">
        <v>5211</v>
      </c>
      <c r="C480" s="122" t="s">
        <v>5212</v>
      </c>
      <c r="D480" s="299">
        <v>8419053</v>
      </c>
      <c r="E480" s="292" t="s">
        <v>19</v>
      </c>
      <c r="F480" s="292" t="s">
        <v>20</v>
      </c>
      <c r="G480" s="292" t="s">
        <v>3801</v>
      </c>
      <c r="H480" s="292" t="str">
        <f>IFERROR(VLOOKUP(G480,'Cadastro de assessores'!A:B,2,FALSE),"Não Cadastrado")</f>
        <v>17679</v>
      </c>
      <c r="I480" s="292"/>
      <c r="J480" s="24" t="s">
        <v>125</v>
      </c>
      <c r="K480" s="292" t="s">
        <v>3802</v>
      </c>
      <c r="L480" s="387">
        <v>44272</v>
      </c>
      <c r="M480" s="387">
        <v>44272</v>
      </c>
      <c r="N480" s="419">
        <v>44498</v>
      </c>
      <c r="O480" s="292" t="s">
        <v>3813</v>
      </c>
      <c r="P480" s="388">
        <v>1.2E-2</v>
      </c>
      <c r="Q480" s="420" t="s">
        <v>5213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127</v>
      </c>
      <c r="U480" s="292" t="s">
        <v>3831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2940</v>
      </c>
      <c r="BE480" s="339" t="s">
        <v>2940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3793</v>
      </c>
      <c r="B481" s="104" t="s">
        <v>5211</v>
      </c>
      <c r="C481" s="122" t="s">
        <v>5212</v>
      </c>
      <c r="D481" s="292">
        <v>4951699</v>
      </c>
      <c r="E481" s="292" t="s">
        <v>19</v>
      </c>
      <c r="F481" s="292" t="s">
        <v>20</v>
      </c>
      <c r="G481" s="292" t="s">
        <v>5214</v>
      </c>
      <c r="H481" s="292" t="str">
        <f>IFERROR(VLOOKUP(G481,'Cadastro de assessores'!A:B,2,FALSE),"Não Cadastrado")</f>
        <v>12305</v>
      </c>
      <c r="I481" s="292"/>
      <c r="J481" s="24" t="s">
        <v>125</v>
      </c>
      <c r="K481" s="292" t="s">
        <v>3802</v>
      </c>
      <c r="L481" s="387">
        <v>44271</v>
      </c>
      <c r="M481" s="387">
        <v>44271</v>
      </c>
      <c r="N481" s="419">
        <v>44498</v>
      </c>
      <c r="O481" s="299" t="s">
        <v>3850</v>
      </c>
      <c r="P481" s="388">
        <v>8.0000000000000002E-3</v>
      </c>
      <c r="Q481" s="420" t="s">
        <v>5213</v>
      </c>
      <c r="R481" s="417"/>
      <c r="S481" s="292" t="str">
        <f t="shared" si="51"/>
        <v>Qualificado</v>
      </c>
      <c r="T481" s="292" t="s">
        <v>127</v>
      </c>
      <c r="U481" s="292" t="s">
        <v>3831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2940</v>
      </c>
      <c r="BE481" s="339" t="s">
        <v>2940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3793</v>
      </c>
      <c r="B482" s="104" t="s">
        <v>5215</v>
      </c>
      <c r="C482" s="390" t="s">
        <v>5216</v>
      </c>
      <c r="D482" s="299">
        <v>5900712</v>
      </c>
      <c r="E482" s="293" t="s">
        <v>19</v>
      </c>
      <c r="F482" s="293" t="s">
        <v>66</v>
      </c>
      <c r="G482" s="293" t="s">
        <v>316</v>
      </c>
      <c r="H482" s="299" t="str">
        <f>IFERROR(VLOOKUP(G482,'Cadastro de assessores'!A:B,2,FALSE),"Não Cadastrado")</f>
        <v>18009</v>
      </c>
      <c r="I482" s="299"/>
      <c r="J482" s="24" t="s">
        <v>125</v>
      </c>
      <c r="K482" s="293" t="s">
        <v>134</v>
      </c>
      <c r="L482" s="415">
        <v>44386</v>
      </c>
      <c r="M482" s="415">
        <v>44390</v>
      </c>
      <c r="N482" s="447">
        <v>44895</v>
      </c>
      <c r="O482" s="299" t="s">
        <v>3817</v>
      </c>
      <c r="P482" s="388">
        <v>2.5000000000000001E-2</v>
      </c>
      <c r="Q482" s="167" t="s">
        <v>5217</v>
      </c>
      <c r="R482" s="417"/>
      <c r="S482" s="292" t="str">
        <f t="shared" si="51"/>
        <v>Não Qualificado</v>
      </c>
      <c r="T482" s="292" t="s">
        <v>127</v>
      </c>
      <c r="U482" s="299" t="s">
        <v>3824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3793</v>
      </c>
      <c r="B483" s="104" t="s">
        <v>2576</v>
      </c>
      <c r="C483" s="122" t="s">
        <v>2574</v>
      </c>
      <c r="D483" s="292">
        <v>3369465</v>
      </c>
      <c r="E483" s="293" t="s">
        <v>19</v>
      </c>
      <c r="F483" s="293" t="s">
        <v>20</v>
      </c>
      <c r="G483" s="293" t="s">
        <v>360</v>
      </c>
      <c r="H483" s="299">
        <f>IFERROR(VLOOKUP(G483,'Cadastro de assessores'!A:B,2,FALSE),"Não Cadastrado")</f>
        <v>12359</v>
      </c>
      <c r="I483" s="299"/>
      <c r="J483" s="24" t="s">
        <v>134</v>
      </c>
      <c r="K483" s="293" t="s">
        <v>134</v>
      </c>
      <c r="L483" s="423">
        <v>44618</v>
      </c>
      <c r="M483" s="423">
        <v>44618</v>
      </c>
      <c r="N483" s="299"/>
      <c r="O483" s="299" t="s">
        <v>3810</v>
      </c>
      <c r="P483" s="388">
        <v>7.0000000000000001E-3</v>
      </c>
      <c r="Q483" s="446" t="s">
        <v>4403</v>
      </c>
      <c r="R483" s="417"/>
      <c r="S483" s="292" t="str">
        <f t="shared" si="51"/>
        <v>Não Qualificado</v>
      </c>
      <c r="T483" s="292" t="s">
        <v>127</v>
      </c>
      <c r="U483" s="292" t="s">
        <v>3819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3793</v>
      </c>
      <c r="B484" s="104" t="s">
        <v>5218</v>
      </c>
      <c r="C484" s="122" t="s">
        <v>5219</v>
      </c>
      <c r="D484" s="292">
        <v>3730315</v>
      </c>
      <c r="E484" s="293" t="s">
        <v>46</v>
      </c>
      <c r="F484" s="293" t="s">
        <v>20</v>
      </c>
      <c r="G484" s="293" t="s">
        <v>4066</v>
      </c>
      <c r="H484" s="299" t="str">
        <f>IFERROR(VLOOKUP(G484,'Cadastro de assessores'!A:B,2,FALSE),"Não Cadastrado")</f>
        <v>19634</v>
      </c>
      <c r="I484" s="299"/>
      <c r="J484" s="24" t="s">
        <v>3796</v>
      </c>
      <c r="K484" s="293" t="s">
        <v>134</v>
      </c>
      <c r="L484" s="415">
        <v>44714</v>
      </c>
      <c r="M484" s="415">
        <v>44714</v>
      </c>
      <c r="N484" s="299"/>
      <c r="O484" s="299" t="s">
        <v>3813</v>
      </c>
      <c r="P484" s="388">
        <v>1.2E-2</v>
      </c>
      <c r="Q484" s="420" t="s">
        <v>5220</v>
      </c>
      <c r="R484" s="417"/>
      <c r="S484" s="292"/>
      <c r="T484" s="292" t="s">
        <v>171</v>
      </c>
      <c r="U484" s="292" t="s">
        <v>3831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2940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3793</v>
      </c>
      <c r="B485" s="104" t="s">
        <v>5221</v>
      </c>
      <c r="C485" s="122" t="s">
        <v>5222</v>
      </c>
      <c r="D485" s="292">
        <v>5371919</v>
      </c>
      <c r="E485" s="293" t="s">
        <v>46</v>
      </c>
      <c r="F485" s="293" t="s">
        <v>20</v>
      </c>
      <c r="G485" s="293" t="s">
        <v>4066</v>
      </c>
      <c r="H485" s="299" t="str">
        <f>IFERROR(VLOOKUP(G485,'Cadastro de assessores'!A:B,2,FALSE),"Não Cadastrado")</f>
        <v>19634</v>
      </c>
      <c r="I485" s="299"/>
      <c r="J485" s="24" t="s">
        <v>3796</v>
      </c>
      <c r="K485" s="293" t="s">
        <v>134</v>
      </c>
      <c r="L485" s="415">
        <v>44711</v>
      </c>
      <c r="M485" s="415">
        <v>44714</v>
      </c>
      <c r="N485" s="299"/>
      <c r="O485" s="299" t="s">
        <v>3813</v>
      </c>
      <c r="P485" s="388">
        <v>1.2E-2</v>
      </c>
      <c r="Q485" s="420" t="s">
        <v>5223</v>
      </c>
      <c r="R485" s="417"/>
      <c r="S485" s="292"/>
      <c r="T485" s="292" t="s">
        <v>171</v>
      </c>
      <c r="U485" s="292" t="s">
        <v>3831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2940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3793</v>
      </c>
      <c r="B486" s="104" t="s">
        <v>5224</v>
      </c>
      <c r="C486" s="122" t="s">
        <v>5225</v>
      </c>
      <c r="D486" s="292">
        <v>3102597</v>
      </c>
      <c r="E486" s="293" t="s">
        <v>19</v>
      </c>
      <c r="F486" s="293" t="s">
        <v>20</v>
      </c>
      <c r="G486" s="293" t="s">
        <v>360</v>
      </c>
      <c r="H486" s="293">
        <f>IFERROR(VLOOKUP(G486,'Cadastro de assessores'!A:B,2,FALSE),"Não Cadastrado")</f>
        <v>12359</v>
      </c>
      <c r="I486" s="293"/>
      <c r="J486" s="24" t="s">
        <v>3796</v>
      </c>
      <c r="K486" s="293" t="s">
        <v>134</v>
      </c>
      <c r="L486" s="415">
        <v>44249</v>
      </c>
      <c r="M486" s="415">
        <v>44249</v>
      </c>
      <c r="N486" s="299"/>
      <c r="O486" s="299" t="s">
        <v>3797</v>
      </c>
      <c r="P486" s="388">
        <v>0.02</v>
      </c>
      <c r="Q486" s="420" t="s">
        <v>3908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127</v>
      </c>
      <c r="U486" s="292" t="s">
        <v>3805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3793</v>
      </c>
      <c r="B487" s="104" t="s">
        <v>2595</v>
      </c>
      <c r="C487" s="122" t="s">
        <v>5226</v>
      </c>
      <c r="D487" s="292">
        <v>3457906</v>
      </c>
      <c r="E487" s="293" t="s">
        <v>19</v>
      </c>
      <c r="F487" s="293" t="s">
        <v>20</v>
      </c>
      <c r="G487" s="293" t="s">
        <v>437</v>
      </c>
      <c r="H487" s="293" t="str">
        <f>IFERROR(VLOOKUP(G487,'Cadastro de assessores'!A:B,2,FALSE),"Não Cadastrado")</f>
        <v>18993</v>
      </c>
      <c r="I487" s="293"/>
      <c r="J487" s="24" t="s">
        <v>3796</v>
      </c>
      <c r="K487" s="293" t="s">
        <v>134</v>
      </c>
      <c r="L487" s="415">
        <v>43693</v>
      </c>
      <c r="M487" s="415">
        <v>43693</v>
      </c>
      <c r="N487" s="292"/>
      <c r="O487" s="292" t="s">
        <v>5227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127</v>
      </c>
      <c r="U487" s="292" t="s">
        <v>3824</v>
      </c>
      <c r="V487" s="292" t="s">
        <v>20</v>
      </c>
      <c r="W487" s="418" t="s">
        <v>5228</v>
      </c>
      <c r="X487" s="418"/>
      <c r="Y487" s="418" t="s">
        <v>5229</v>
      </c>
      <c r="Z487" s="418" t="s">
        <v>5230</v>
      </c>
      <c r="AA487" s="418" t="s">
        <v>5231</v>
      </c>
      <c r="AB487" s="418" t="s">
        <v>5232</v>
      </c>
      <c r="AC487" s="418" t="s">
        <v>5233</v>
      </c>
      <c r="AD487" s="418" t="s">
        <v>5234</v>
      </c>
      <c r="AE487" s="418" t="s">
        <v>5235</v>
      </c>
      <c r="AF487" s="418" t="s">
        <v>5236</v>
      </c>
      <c r="AG487" s="418" t="s">
        <v>5237</v>
      </c>
      <c r="AH487" s="418" t="s">
        <v>5238</v>
      </c>
      <c r="AI487" s="418" t="s">
        <v>5239</v>
      </c>
      <c r="AJ487" s="418" t="s">
        <v>5240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3793</v>
      </c>
      <c r="B488" s="104" t="s">
        <v>5241</v>
      </c>
      <c r="C488" s="441" t="s">
        <v>5242</v>
      </c>
      <c r="D488" s="299">
        <v>5582661</v>
      </c>
      <c r="E488" s="293" t="s">
        <v>19</v>
      </c>
      <c r="F488" s="293" t="s">
        <v>66</v>
      </c>
      <c r="G488" s="293" t="s">
        <v>316</v>
      </c>
      <c r="H488" s="293" t="str">
        <f>IFERROR(VLOOKUP(G488,'Cadastro de assessores'!A:B,2,FALSE),"Não Cadastrado")</f>
        <v>18009</v>
      </c>
      <c r="I488" s="293"/>
      <c r="J488" s="24" t="s">
        <v>125</v>
      </c>
      <c r="K488" s="293" t="s">
        <v>134</v>
      </c>
      <c r="L488" s="415">
        <v>44340</v>
      </c>
      <c r="M488" s="415">
        <v>44340</v>
      </c>
      <c r="N488" s="387">
        <v>44896</v>
      </c>
      <c r="O488" s="292" t="s">
        <v>3817</v>
      </c>
      <c r="P488" s="388">
        <v>2.5000000000000001E-2</v>
      </c>
      <c r="Q488" s="167" t="s">
        <v>5243</v>
      </c>
      <c r="R488" s="417"/>
      <c r="S488" s="292" t="str">
        <f t="shared" si="52"/>
        <v/>
      </c>
      <c r="T488" s="292" t="s">
        <v>127</v>
      </c>
      <c r="U488" s="292" t="s">
        <v>3819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3793</v>
      </c>
      <c r="B489" s="104" t="s">
        <v>5244</v>
      </c>
      <c r="C489" s="122" t="s">
        <v>5245</v>
      </c>
      <c r="D489" s="292">
        <v>4484307</v>
      </c>
      <c r="E489" s="292" t="s">
        <v>46</v>
      </c>
      <c r="F489" s="292" t="s">
        <v>20</v>
      </c>
      <c r="G489" s="292" t="s">
        <v>5246</v>
      </c>
      <c r="H489" s="292" t="str">
        <f>IFERROR(VLOOKUP(G489,'Cadastro de assessores'!A:B,2,FALSE),"Não Cadastrado")</f>
        <v>18061</v>
      </c>
      <c r="I489" s="292"/>
      <c r="J489" s="24" t="s">
        <v>125</v>
      </c>
      <c r="K489" s="292" t="s">
        <v>3802</v>
      </c>
      <c r="L489" s="387">
        <v>44105</v>
      </c>
      <c r="M489" s="387">
        <v>44105</v>
      </c>
      <c r="N489" s="419">
        <v>44482</v>
      </c>
      <c r="O489" s="292" t="s">
        <v>3817</v>
      </c>
      <c r="P489" s="388">
        <v>2.5000000000000001E-2</v>
      </c>
      <c r="Q489" s="420" t="s">
        <v>5247</v>
      </c>
      <c r="R489" s="417"/>
      <c r="S489" s="292" t="str">
        <f t="shared" si="52"/>
        <v>Não Qualificado</v>
      </c>
      <c r="T489" s="292" t="s">
        <v>127</v>
      </c>
      <c r="U489" s="292" t="s">
        <v>5248</v>
      </c>
      <c r="V489" s="292" t="s">
        <v>66</v>
      </c>
      <c r="W489" s="418" t="s">
        <v>3806</v>
      </c>
      <c r="X489" s="418" t="s">
        <v>3806</v>
      </c>
      <c r="Y489" s="418" t="s">
        <v>3806</v>
      </c>
      <c r="Z489" s="418" t="s">
        <v>3806</v>
      </c>
      <c r="AA489" s="418" t="s">
        <v>3806</v>
      </c>
      <c r="AB489" s="418" t="s">
        <v>3806</v>
      </c>
      <c r="AC489" s="418" t="s">
        <v>3806</v>
      </c>
      <c r="AD489" s="418" t="s">
        <v>3806</v>
      </c>
      <c r="AE489" s="418" t="s">
        <v>3806</v>
      </c>
      <c r="AF489" s="418" t="s">
        <v>3806</v>
      </c>
      <c r="AG489" s="418" t="s">
        <v>3806</v>
      </c>
      <c r="AH489" s="418" t="s">
        <v>3806</v>
      </c>
      <c r="AI489" s="418" t="s">
        <v>5249</v>
      </c>
      <c r="AJ489" s="418" t="s">
        <v>5250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2940</v>
      </c>
      <c r="BE489" s="339" t="s">
        <v>2940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3793</v>
      </c>
      <c r="B490" s="104" t="s">
        <v>3602</v>
      </c>
      <c r="C490" s="122" t="s">
        <v>5251</v>
      </c>
      <c r="D490" s="292">
        <v>4598320</v>
      </c>
      <c r="E490" s="293" t="s">
        <v>19</v>
      </c>
      <c r="F490" s="293" t="s">
        <v>20</v>
      </c>
      <c r="G490" s="293" t="s">
        <v>437</v>
      </c>
      <c r="H490" s="293" t="str">
        <f>IFERROR(VLOOKUP(G490,'Cadastro de assessores'!A:B,2,FALSE),"Não Cadastrado")</f>
        <v>18993</v>
      </c>
      <c r="I490" s="293"/>
      <c r="J490" s="24" t="s">
        <v>3796</v>
      </c>
      <c r="K490" s="293" t="s">
        <v>134</v>
      </c>
      <c r="L490" s="416">
        <v>44148</v>
      </c>
      <c r="M490" s="416">
        <v>44148</v>
      </c>
      <c r="N490" s="292"/>
      <c r="O490" s="292" t="s">
        <v>3817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127</v>
      </c>
      <c r="U490" s="292" t="s">
        <v>4057</v>
      </c>
      <c r="V490" s="292" t="s">
        <v>878</v>
      </c>
      <c r="W490" s="418" t="s">
        <v>3806</v>
      </c>
      <c r="X490" s="418" t="s">
        <v>3806</v>
      </c>
      <c r="Y490" s="418" t="s">
        <v>3806</v>
      </c>
      <c r="Z490" s="418" t="s">
        <v>3806</v>
      </c>
      <c r="AA490" s="418" t="s">
        <v>3806</v>
      </c>
      <c r="AB490" s="418" t="s">
        <v>3806</v>
      </c>
      <c r="AC490" s="418" t="s">
        <v>3806</v>
      </c>
      <c r="AD490" s="418" t="s">
        <v>3806</v>
      </c>
      <c r="AE490" s="418" t="s">
        <v>3806</v>
      </c>
      <c r="AF490" s="418" t="s">
        <v>3806</v>
      </c>
      <c r="AG490" s="418" t="s">
        <v>3806</v>
      </c>
      <c r="AH490" s="418" t="s">
        <v>3806</v>
      </c>
      <c r="AI490" s="418" t="s">
        <v>3806</v>
      </c>
      <c r="AJ490" s="418" t="s">
        <v>5252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3793</v>
      </c>
      <c r="B491" s="104" t="s">
        <v>5253</v>
      </c>
      <c r="C491" s="122" t="s">
        <v>5254</v>
      </c>
      <c r="D491" s="292">
        <v>3412436</v>
      </c>
      <c r="E491" s="293" t="s">
        <v>2931</v>
      </c>
      <c r="F491" s="293" t="s">
        <v>20</v>
      </c>
      <c r="G491" s="293" t="s">
        <v>2931</v>
      </c>
      <c r="H491" s="293" t="str">
        <f>IFERROR(VLOOKUP(G491,'Cadastro de assessores'!A:B,2,FALSE),"Não Cadastrado")</f>
        <v>18986</v>
      </c>
      <c r="I491" s="293"/>
      <c r="J491" s="24" t="s">
        <v>3796</v>
      </c>
      <c r="K491" s="439" t="s">
        <v>145</v>
      </c>
      <c r="L491" s="415">
        <v>44067</v>
      </c>
      <c r="M491" s="415">
        <v>44075</v>
      </c>
      <c r="N491" s="292"/>
      <c r="O491" s="292" t="s">
        <v>3803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127</v>
      </c>
      <c r="U491" s="292" t="s">
        <v>3937</v>
      </c>
      <c r="V491" s="292" t="s">
        <v>20</v>
      </c>
      <c r="W491" s="418" t="s">
        <v>3806</v>
      </c>
      <c r="X491" s="418" t="s">
        <v>3806</v>
      </c>
      <c r="Y491" s="418" t="s">
        <v>3806</v>
      </c>
      <c r="Z491" s="418" t="s">
        <v>3806</v>
      </c>
      <c r="AA491" s="418" t="s">
        <v>3806</v>
      </c>
      <c r="AB491" s="418" t="s">
        <v>3806</v>
      </c>
      <c r="AC491" s="418" t="s">
        <v>3806</v>
      </c>
      <c r="AD491" s="418" t="s">
        <v>3806</v>
      </c>
      <c r="AE491" s="418" t="s">
        <v>3806</v>
      </c>
      <c r="AF491" s="418" t="s">
        <v>3806</v>
      </c>
      <c r="AG491" s="418" t="s">
        <v>5255</v>
      </c>
      <c r="AH491" s="418" t="s">
        <v>5256</v>
      </c>
      <c r="AI491" s="418" t="s">
        <v>5257</v>
      </c>
      <c r="AJ491" s="418" t="s">
        <v>5258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3793</v>
      </c>
      <c r="B492" s="104" t="s">
        <v>2603</v>
      </c>
      <c r="C492" s="441" t="s">
        <v>5259</v>
      </c>
      <c r="D492" s="299">
        <v>5681841</v>
      </c>
      <c r="E492" s="293" t="s">
        <v>19</v>
      </c>
      <c r="F492" s="293" t="s">
        <v>66</v>
      </c>
      <c r="G492" s="293" t="s">
        <v>67</v>
      </c>
      <c r="H492" s="293" t="str">
        <f>IFERROR(VLOOKUP(G492,'Cadastro de assessores'!A:B,2,FALSE),"Não Cadastrado")</f>
        <v>18890</v>
      </c>
      <c r="I492" s="293"/>
      <c r="J492" s="24" t="s">
        <v>3796</v>
      </c>
      <c r="K492" s="293" t="s">
        <v>134</v>
      </c>
      <c r="L492" s="415">
        <v>44469</v>
      </c>
      <c r="M492" s="415">
        <v>44469</v>
      </c>
      <c r="N492" s="292"/>
      <c r="O492" s="292" t="s">
        <v>3813</v>
      </c>
      <c r="P492" s="388">
        <v>1.2E-2</v>
      </c>
      <c r="Q492" s="167" t="s">
        <v>3916</v>
      </c>
      <c r="R492" s="417"/>
      <c r="S492" s="292" t="str">
        <f t="shared" si="52"/>
        <v>Não Qualificado</v>
      </c>
      <c r="T492" s="292" t="s">
        <v>127</v>
      </c>
      <c r="U492" s="299" t="s">
        <v>3975</v>
      </c>
      <c r="V492" s="299" t="s">
        <v>66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3793</v>
      </c>
      <c r="B493" s="104" t="s">
        <v>5260</v>
      </c>
      <c r="C493" s="390" t="s">
        <v>5261</v>
      </c>
      <c r="D493" s="292">
        <v>5146477</v>
      </c>
      <c r="E493" s="292" t="s">
        <v>2931</v>
      </c>
      <c r="F493" s="292" t="s">
        <v>20</v>
      </c>
      <c r="G493" s="292" t="s">
        <v>2931</v>
      </c>
      <c r="H493" s="292" t="str">
        <f>IFERROR(VLOOKUP(G493,'Cadastro de assessores'!A:B,2,FALSE),"Não Cadastrado")</f>
        <v>18986</v>
      </c>
      <c r="I493" s="292"/>
      <c r="J493" s="24" t="s">
        <v>125</v>
      </c>
      <c r="K493" s="292" t="s">
        <v>3802</v>
      </c>
      <c r="L493" s="387">
        <v>44355</v>
      </c>
      <c r="M493" s="387">
        <v>44355</v>
      </c>
      <c r="N493" s="387">
        <v>44776</v>
      </c>
      <c r="O493" s="292" t="s">
        <v>3813</v>
      </c>
      <c r="P493" s="388">
        <v>1.2E-2</v>
      </c>
      <c r="Q493" s="167" t="s">
        <v>5262</v>
      </c>
      <c r="R493" s="417"/>
      <c r="S493" s="292" t="str">
        <f t="shared" si="52"/>
        <v/>
      </c>
      <c r="T493" s="292" t="s">
        <v>127</v>
      </c>
      <c r="U493" s="299" t="s">
        <v>5263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3793</v>
      </c>
      <c r="B494" s="104" t="s">
        <v>5264</v>
      </c>
      <c r="C494" s="441" t="s">
        <v>5265</v>
      </c>
      <c r="D494" s="299">
        <v>5620188</v>
      </c>
      <c r="E494" s="293" t="s">
        <v>19</v>
      </c>
      <c r="F494" s="293" t="s">
        <v>66</v>
      </c>
      <c r="G494" s="299" t="s">
        <v>5266</v>
      </c>
      <c r="H494" s="299" t="str">
        <f>IFERROR(VLOOKUP(G494,'Cadastro de assessores'!A:B,2,FALSE),"Não Cadastrado")</f>
        <v>18530</v>
      </c>
      <c r="I494" s="299"/>
      <c r="J494" s="24" t="s">
        <v>3796</v>
      </c>
      <c r="K494" s="439" t="s">
        <v>145</v>
      </c>
      <c r="L494" s="415">
        <v>44355</v>
      </c>
      <c r="M494" s="415">
        <v>44356</v>
      </c>
      <c r="N494" s="292"/>
      <c r="O494" s="292" t="s">
        <v>3817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127</v>
      </c>
      <c r="U494" s="292" t="s">
        <v>3819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3793</v>
      </c>
      <c r="B495" s="104" t="s">
        <v>5267</v>
      </c>
      <c r="C495" s="122" t="s">
        <v>5268</v>
      </c>
      <c r="D495" s="483">
        <v>7738705</v>
      </c>
      <c r="E495" s="293" t="s">
        <v>19</v>
      </c>
      <c r="F495" s="293" t="s">
        <v>66</v>
      </c>
      <c r="G495" s="293" t="s">
        <v>265</v>
      </c>
      <c r="H495" s="299" t="str">
        <f>IFERROR(VLOOKUP(G495,'Cadastro de assessores'!A:B,2,FALSE),"Não Cadastrado")</f>
        <v>17831</v>
      </c>
      <c r="I495" s="299"/>
      <c r="J495" s="24" t="s">
        <v>3796</v>
      </c>
      <c r="K495" s="293" t="s">
        <v>134</v>
      </c>
      <c r="L495" s="415">
        <v>44585</v>
      </c>
      <c r="M495" s="415">
        <v>44589</v>
      </c>
      <c r="N495" s="292"/>
      <c r="O495" s="292" t="s">
        <v>3810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127</v>
      </c>
      <c r="U495" s="292" t="s">
        <v>3849</v>
      </c>
      <c r="V495" s="292" t="s">
        <v>66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3793</v>
      </c>
      <c r="B496" s="104" t="s">
        <v>2618</v>
      </c>
      <c r="C496" s="122" t="s">
        <v>2616</v>
      </c>
      <c r="D496" s="292">
        <v>4634231</v>
      </c>
      <c r="E496" s="293" t="s">
        <v>46</v>
      </c>
      <c r="F496" s="293" t="s">
        <v>20</v>
      </c>
      <c r="G496" s="293" t="s">
        <v>3855</v>
      </c>
      <c r="H496" s="293" t="str">
        <f>IFERROR(VLOOKUP(G496,'Cadastro de assessores'!A:B,2,FALSE),"Não Cadastrado")</f>
        <v>12624</v>
      </c>
      <c r="I496" s="293"/>
      <c r="J496" s="24" t="s">
        <v>3796</v>
      </c>
      <c r="K496" s="293" t="s">
        <v>134</v>
      </c>
      <c r="L496" s="415">
        <v>44166</v>
      </c>
      <c r="M496" s="415">
        <v>44173</v>
      </c>
      <c r="N496" s="292"/>
      <c r="O496" s="292" t="s">
        <v>3810</v>
      </c>
      <c r="P496" s="388">
        <v>7.0000000000000001E-3</v>
      </c>
      <c r="Q496" s="484" t="s">
        <v>5269</v>
      </c>
      <c r="R496" s="417"/>
      <c r="S496" s="292" t="str">
        <f t="shared" si="52"/>
        <v>Não Qualificado</v>
      </c>
      <c r="T496" s="292" t="s">
        <v>127</v>
      </c>
      <c r="U496" s="292" t="s">
        <v>3819</v>
      </c>
      <c r="V496" s="292" t="s">
        <v>20</v>
      </c>
      <c r="W496" s="418" t="s">
        <v>3806</v>
      </c>
      <c r="X496" s="418" t="s">
        <v>3806</v>
      </c>
      <c r="Y496" s="418" t="s">
        <v>3806</v>
      </c>
      <c r="Z496" s="418" t="s">
        <v>3806</v>
      </c>
      <c r="AA496" s="418" t="s">
        <v>3806</v>
      </c>
      <c r="AB496" s="418" t="s">
        <v>3806</v>
      </c>
      <c r="AC496" s="418" t="s">
        <v>3806</v>
      </c>
      <c r="AD496" s="418" t="s">
        <v>3806</v>
      </c>
      <c r="AE496" s="418" t="s">
        <v>3806</v>
      </c>
      <c r="AF496" s="418" t="s">
        <v>3806</v>
      </c>
      <c r="AG496" s="418" t="s">
        <v>3806</v>
      </c>
      <c r="AH496" s="418" t="s">
        <v>3806</v>
      </c>
      <c r="AI496" s="418" t="s">
        <v>3806</v>
      </c>
      <c r="AJ496" s="418" t="s">
        <v>3806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3793</v>
      </c>
      <c r="B497" s="104" t="s">
        <v>5270</v>
      </c>
      <c r="C497" s="390" t="s">
        <v>5271</v>
      </c>
      <c r="D497" s="299">
        <v>4304013</v>
      </c>
      <c r="E497" s="293" t="s">
        <v>19</v>
      </c>
      <c r="F497" s="293" t="s">
        <v>66</v>
      </c>
      <c r="G497" s="293" t="s">
        <v>316</v>
      </c>
      <c r="H497" s="293" t="str">
        <f>IFERROR(VLOOKUP(G497,'Cadastro de assessores'!A:B,2,FALSE),"Não Cadastrado")</f>
        <v>18009</v>
      </c>
      <c r="I497" s="293"/>
      <c r="J497" s="24" t="s">
        <v>3796</v>
      </c>
      <c r="K497" s="439" t="s">
        <v>134</v>
      </c>
      <c r="L497" s="415">
        <v>44292</v>
      </c>
      <c r="M497" s="415">
        <v>44291</v>
      </c>
      <c r="N497" s="292"/>
      <c r="O497" s="292" t="s">
        <v>3817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127</v>
      </c>
      <c r="U497" s="299" t="s">
        <v>3891</v>
      </c>
      <c r="V497" s="292" t="s">
        <v>3892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3793</v>
      </c>
      <c r="B498" s="104" t="s">
        <v>2631</v>
      </c>
      <c r="C498" s="122" t="s">
        <v>2628</v>
      </c>
      <c r="D498" s="292">
        <v>4695301</v>
      </c>
      <c r="E498" s="293" t="s">
        <v>46</v>
      </c>
      <c r="F498" s="293" t="s">
        <v>20</v>
      </c>
      <c r="G498" s="293" t="s">
        <v>4066</v>
      </c>
      <c r="H498" s="293" t="str">
        <f>IFERROR(VLOOKUP(G498,'Cadastro de assessores'!A:B,2,FALSE),"Não Cadastrado")</f>
        <v>19634</v>
      </c>
      <c r="I498" s="293"/>
      <c r="J498" s="24" t="s">
        <v>3796</v>
      </c>
      <c r="K498" s="293" t="s">
        <v>134</v>
      </c>
      <c r="L498" s="415">
        <v>44217</v>
      </c>
      <c r="M498" s="415">
        <v>44218</v>
      </c>
      <c r="N498" s="292"/>
      <c r="O498" s="292" t="s">
        <v>3797</v>
      </c>
      <c r="P498" s="388">
        <v>0.02</v>
      </c>
      <c r="Q498" s="420"/>
      <c r="R498" s="417"/>
      <c r="S498" s="292" t="str">
        <f t="shared" si="52"/>
        <v/>
      </c>
      <c r="T498" s="292" t="s">
        <v>127</v>
      </c>
      <c r="U498" s="292" t="s">
        <v>4669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3154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3793</v>
      </c>
      <c r="B499" s="104" t="s">
        <v>5272</v>
      </c>
      <c r="C499" s="122" t="s">
        <v>5273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3796</v>
      </c>
      <c r="K499" s="439" t="s">
        <v>145</v>
      </c>
      <c r="L499" s="292" t="s">
        <v>3154</v>
      </c>
      <c r="M499" s="436" t="s">
        <v>4185</v>
      </c>
      <c r="N499" s="292"/>
      <c r="O499" s="292" t="s">
        <v>3803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171</v>
      </c>
      <c r="U499" s="292" t="s">
        <v>4079</v>
      </c>
      <c r="V499" s="292" t="s">
        <v>20</v>
      </c>
      <c r="W499" s="418" t="s">
        <v>3806</v>
      </c>
      <c r="X499" s="418" t="s">
        <v>3806</v>
      </c>
      <c r="Y499" s="418" t="s">
        <v>3806</v>
      </c>
      <c r="Z499" s="418" t="s">
        <v>3806</v>
      </c>
      <c r="AA499" s="418" t="s">
        <v>3806</v>
      </c>
      <c r="AB499" s="418" t="s">
        <v>3806</v>
      </c>
      <c r="AC499" s="418" t="s">
        <v>3806</v>
      </c>
      <c r="AD499" s="418" t="s">
        <v>3806</v>
      </c>
      <c r="AE499" s="418" t="s">
        <v>3806</v>
      </c>
      <c r="AF499" s="418" t="s">
        <v>3806</v>
      </c>
      <c r="AG499" s="418" t="s">
        <v>3806</v>
      </c>
      <c r="AH499" s="418" t="s">
        <v>3806</v>
      </c>
      <c r="AI499" s="418" t="s">
        <v>3806</v>
      </c>
      <c r="AJ499" s="418" t="s">
        <v>3806</v>
      </c>
      <c r="AK499" s="339" t="s">
        <v>3154</v>
      </c>
      <c r="AL499" s="339"/>
      <c r="AM499" s="339" t="s">
        <v>3154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2940</v>
      </c>
      <c r="BE499" s="339" t="s">
        <v>2940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3793</v>
      </c>
      <c r="B500" s="104" t="s">
        <v>2634</v>
      </c>
      <c r="C500" s="86" t="s">
        <v>2632</v>
      </c>
      <c r="D500" s="299">
        <v>7012555</v>
      </c>
      <c r="E500" s="293" t="s">
        <v>19</v>
      </c>
      <c r="F500" s="293" t="s">
        <v>20</v>
      </c>
      <c r="G500" s="426" t="s">
        <v>935</v>
      </c>
      <c r="H500" s="293">
        <f>IFERROR(VLOOKUP(G500,'Cadastro de assessores'!A:B,2,FALSE),"Não Cadastrado")</f>
        <v>12342</v>
      </c>
      <c r="I500" s="293"/>
      <c r="J500" s="24" t="s">
        <v>3796</v>
      </c>
      <c r="K500" s="293" t="s">
        <v>134</v>
      </c>
      <c r="L500" s="416">
        <v>44553</v>
      </c>
      <c r="M500" s="416">
        <v>44558</v>
      </c>
      <c r="N500" s="426"/>
      <c r="O500" s="426" t="s">
        <v>3810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127</v>
      </c>
      <c r="U500" s="307" t="s">
        <v>3931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3793</v>
      </c>
      <c r="B501" s="104" t="s">
        <v>2638</v>
      </c>
      <c r="C501" s="122" t="s">
        <v>3528</v>
      </c>
      <c r="D501" s="292">
        <v>4848036</v>
      </c>
      <c r="E501" s="293" t="s">
        <v>2931</v>
      </c>
      <c r="F501" s="293" t="s">
        <v>20</v>
      </c>
      <c r="G501" s="293" t="s">
        <v>2931</v>
      </c>
      <c r="H501" s="293" t="str">
        <f>IFERROR(VLOOKUP(G501,'Cadastro de assessores'!A:B,2,FALSE),"Não Cadastrado")</f>
        <v>18986</v>
      </c>
      <c r="I501" s="293"/>
      <c r="J501" s="24" t="s">
        <v>3796</v>
      </c>
      <c r="K501" s="293" t="s">
        <v>134</v>
      </c>
      <c r="L501" s="415">
        <v>44249</v>
      </c>
      <c r="M501" s="415">
        <v>44249</v>
      </c>
      <c r="N501" s="292"/>
      <c r="O501" s="292" t="s">
        <v>3813</v>
      </c>
      <c r="P501" s="388">
        <v>1.2E-2</v>
      </c>
      <c r="Q501" s="420"/>
      <c r="R501" s="417"/>
      <c r="S501" s="292" t="str">
        <f t="shared" si="52"/>
        <v/>
      </c>
      <c r="T501" s="292" t="s">
        <v>127</v>
      </c>
      <c r="U501" s="292" t="s">
        <v>3840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3793</v>
      </c>
      <c r="B502" s="104" t="s">
        <v>5274</v>
      </c>
      <c r="C502" s="390" t="s">
        <v>5275</v>
      </c>
      <c r="D502" s="432">
        <v>7975278</v>
      </c>
      <c r="E502" s="292" t="s">
        <v>19</v>
      </c>
      <c r="F502" s="292" t="s">
        <v>20</v>
      </c>
      <c r="G502" s="292" t="s">
        <v>4351</v>
      </c>
      <c r="H502" s="292" t="str">
        <f>IFERROR(VLOOKUP(G502,'Cadastro de assessores'!A:B,2,FALSE),"Não Cadastrado")</f>
        <v>16130</v>
      </c>
      <c r="I502" s="292"/>
      <c r="J502" s="24" t="s">
        <v>125</v>
      </c>
      <c r="K502" s="292" t="s">
        <v>3802</v>
      </c>
      <c r="L502" s="387">
        <v>44623</v>
      </c>
      <c r="M502" s="387">
        <v>44623</v>
      </c>
      <c r="N502" s="387">
        <v>44774</v>
      </c>
      <c r="O502" s="292" t="s">
        <v>3810</v>
      </c>
      <c r="P502" s="388">
        <v>7.0000000000000001E-3</v>
      </c>
      <c r="Q502" s="167" t="s">
        <v>5276</v>
      </c>
      <c r="R502" s="417"/>
      <c r="S502" s="292" t="str">
        <f t="shared" si="52"/>
        <v>Não Qualificado</v>
      </c>
      <c r="T502" s="292" t="s">
        <v>127</v>
      </c>
      <c r="U502" s="299" t="s">
        <v>3840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3793</v>
      </c>
      <c r="B503" s="104" t="s">
        <v>2658</v>
      </c>
      <c r="C503" s="433" t="s">
        <v>5277</v>
      </c>
      <c r="D503" s="434">
        <v>3924234</v>
      </c>
      <c r="E503" s="293" t="s">
        <v>19</v>
      </c>
      <c r="F503" s="293" t="s">
        <v>20</v>
      </c>
      <c r="G503" s="293" t="s">
        <v>184</v>
      </c>
      <c r="H503" s="293"/>
      <c r="I503" s="293"/>
      <c r="J503" s="24" t="s">
        <v>3796</v>
      </c>
      <c r="K503" s="293"/>
      <c r="L503" s="415"/>
      <c r="M503" s="415">
        <v>44918</v>
      </c>
      <c r="N503" s="292"/>
      <c r="O503" s="292" t="s">
        <v>3813</v>
      </c>
      <c r="P503" s="388">
        <v>8.0000000000000002E-3</v>
      </c>
      <c r="Q503" s="481" t="s">
        <v>5278</v>
      </c>
      <c r="R503" s="417"/>
      <c r="S503" s="292"/>
      <c r="T503" s="292"/>
      <c r="U503" s="292"/>
      <c r="V503" s="292" t="s">
        <v>66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3793</v>
      </c>
      <c r="B504" s="104" t="s">
        <v>5279</v>
      </c>
      <c r="C504" s="122" t="s">
        <v>5280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125</v>
      </c>
      <c r="K504" s="293" t="s">
        <v>134</v>
      </c>
      <c r="L504" s="415">
        <v>44076</v>
      </c>
      <c r="M504" s="415">
        <v>44076</v>
      </c>
      <c r="N504" s="387">
        <v>44930</v>
      </c>
      <c r="O504" s="292" t="s">
        <v>3813</v>
      </c>
      <c r="P504" s="388">
        <v>1.2E-2</v>
      </c>
      <c r="Q504" s="420" t="s">
        <v>5191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127</v>
      </c>
      <c r="U504" s="292" t="s">
        <v>3937</v>
      </c>
      <c r="V504" s="292" t="s">
        <v>20</v>
      </c>
      <c r="W504" s="418" t="s">
        <v>3806</v>
      </c>
      <c r="X504" s="418" t="s">
        <v>3806</v>
      </c>
      <c r="Y504" s="418" t="s">
        <v>3806</v>
      </c>
      <c r="Z504" s="418" t="s">
        <v>3806</v>
      </c>
      <c r="AA504" s="418" t="s">
        <v>3806</v>
      </c>
      <c r="AB504" s="418" t="s">
        <v>3806</v>
      </c>
      <c r="AC504" s="418" t="s">
        <v>3806</v>
      </c>
      <c r="AD504" s="418" t="s">
        <v>3806</v>
      </c>
      <c r="AE504" s="418" t="s">
        <v>3806</v>
      </c>
      <c r="AF504" s="418" t="s">
        <v>3806</v>
      </c>
      <c r="AG504" s="418" t="s">
        <v>3806</v>
      </c>
      <c r="AH504" s="418" t="s">
        <v>5281</v>
      </c>
      <c r="AI504" s="418" t="s">
        <v>5282</v>
      </c>
      <c r="AJ504" s="418" t="s">
        <v>5283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3793</v>
      </c>
      <c r="B505" s="104" t="s">
        <v>5284</v>
      </c>
      <c r="C505" s="390" t="s">
        <v>5285</v>
      </c>
      <c r="D505" s="299">
        <v>5577058</v>
      </c>
      <c r="E505" s="292" t="s">
        <v>19</v>
      </c>
      <c r="F505" s="292" t="s">
        <v>66</v>
      </c>
      <c r="G505" s="292" t="s">
        <v>316</v>
      </c>
      <c r="H505" s="292" t="str">
        <f>IFERROR(VLOOKUP(G505,'Cadastro de assessores'!A:B,2,FALSE),"Não Cadastrado")</f>
        <v>18009</v>
      </c>
      <c r="I505" s="292"/>
      <c r="J505" s="24" t="s">
        <v>125</v>
      </c>
      <c r="K505" s="292" t="s">
        <v>3802</v>
      </c>
      <c r="L505" s="387">
        <v>44355</v>
      </c>
      <c r="M505" s="387">
        <v>44355</v>
      </c>
      <c r="N505" s="387">
        <v>44683</v>
      </c>
      <c r="O505" s="292" t="s">
        <v>3810</v>
      </c>
      <c r="P505" s="388">
        <v>7.0000000000000001E-3</v>
      </c>
      <c r="Q505" s="167" t="s">
        <v>5286</v>
      </c>
      <c r="R505" s="417"/>
      <c r="S505" s="292" t="str">
        <f t="shared" si="53"/>
        <v/>
      </c>
      <c r="T505" s="292" t="s">
        <v>127</v>
      </c>
      <c r="U505" s="299" t="s">
        <v>3854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2940</v>
      </c>
      <c r="BE505" s="339" t="s">
        <v>2940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3793</v>
      </c>
      <c r="B506" s="104" t="s">
        <v>2661</v>
      </c>
      <c r="C506" s="441" t="s">
        <v>2659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134</v>
      </c>
      <c r="K506" s="293" t="s">
        <v>134</v>
      </c>
      <c r="L506" s="415">
        <v>44802</v>
      </c>
      <c r="M506" s="415">
        <v>44802</v>
      </c>
      <c r="N506" s="292"/>
      <c r="O506" s="292" t="s">
        <v>3810</v>
      </c>
      <c r="P506" s="388">
        <v>7.0000000000000001E-3</v>
      </c>
      <c r="Q506" s="167"/>
      <c r="R506" s="417"/>
      <c r="S506" s="292"/>
      <c r="T506" s="292"/>
      <c r="U506" s="299"/>
      <c r="V506" s="299" t="s">
        <v>66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3793</v>
      </c>
      <c r="B507" s="104" t="s">
        <v>5287</v>
      </c>
      <c r="C507" s="390" t="s">
        <v>5288</v>
      </c>
      <c r="D507" s="299">
        <v>6065361</v>
      </c>
      <c r="E507" s="292" t="s">
        <v>19</v>
      </c>
      <c r="F507" s="292" t="s">
        <v>66</v>
      </c>
      <c r="G507" s="292" t="s">
        <v>4142</v>
      </c>
      <c r="H507" s="292" t="str">
        <f>IFERROR(VLOOKUP(G507,'Cadastro de assessores'!A:B,2,FALSE),"Não Cadastrado")</f>
        <v>14294</v>
      </c>
      <c r="I507" s="292"/>
      <c r="J507" s="24" t="s">
        <v>125</v>
      </c>
      <c r="K507" s="292" t="s">
        <v>3802</v>
      </c>
      <c r="L507" s="387">
        <v>44414</v>
      </c>
      <c r="M507" s="387">
        <v>44414</v>
      </c>
      <c r="N507" s="387">
        <v>44818</v>
      </c>
      <c r="O507" s="292" t="s">
        <v>3813</v>
      </c>
      <c r="P507" s="388">
        <v>1.2E-2</v>
      </c>
      <c r="Q507" s="167" t="s">
        <v>5289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127</v>
      </c>
      <c r="U507" s="299" t="s">
        <v>4506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3793</v>
      </c>
      <c r="B508" s="104" t="s">
        <v>2676</v>
      </c>
      <c r="C508" s="122" t="s">
        <v>5290</v>
      </c>
      <c r="D508" s="292">
        <v>4459682</v>
      </c>
      <c r="E508" s="293" t="s">
        <v>46</v>
      </c>
      <c r="F508" s="293" t="s">
        <v>20</v>
      </c>
      <c r="G508" s="293" t="s">
        <v>184</v>
      </c>
      <c r="H508" s="293">
        <f>IFERROR(VLOOKUP(G508,'Cadastro de assessores'!A:B,2,FALSE),"Não Cadastrado")</f>
        <v>12332</v>
      </c>
      <c r="I508" s="293"/>
      <c r="J508" s="24" t="s">
        <v>134</v>
      </c>
      <c r="K508" s="293" t="s">
        <v>134</v>
      </c>
      <c r="L508" s="415">
        <v>44090</v>
      </c>
      <c r="M508" s="415">
        <v>44105</v>
      </c>
      <c r="N508" s="292"/>
      <c r="O508" s="292" t="s">
        <v>3803</v>
      </c>
      <c r="P508" s="388">
        <v>1.4999999999999999E-2</v>
      </c>
      <c r="Q508" s="485" t="s">
        <v>5291</v>
      </c>
      <c r="R508" s="417"/>
      <c r="S508" s="292" t="str">
        <f t="shared" si="54"/>
        <v/>
      </c>
      <c r="T508" s="292" t="s">
        <v>127</v>
      </c>
      <c r="U508" s="292" t="s">
        <v>3805</v>
      </c>
      <c r="V508" s="292" t="s">
        <v>20</v>
      </c>
      <c r="W508" s="418" t="s">
        <v>3806</v>
      </c>
      <c r="X508" s="418" t="s">
        <v>3806</v>
      </c>
      <c r="Y508" s="418" t="s">
        <v>3806</v>
      </c>
      <c r="Z508" s="418" t="s">
        <v>3806</v>
      </c>
      <c r="AA508" s="418" t="s">
        <v>3806</v>
      </c>
      <c r="AB508" s="418" t="s">
        <v>3806</v>
      </c>
      <c r="AC508" s="418" t="s">
        <v>3806</v>
      </c>
      <c r="AD508" s="418" t="s">
        <v>3806</v>
      </c>
      <c r="AE508" s="418" t="s">
        <v>3806</v>
      </c>
      <c r="AF508" s="418" t="s">
        <v>3806</v>
      </c>
      <c r="AG508" s="418" t="s">
        <v>3806</v>
      </c>
      <c r="AH508" s="418" t="s">
        <v>3806</v>
      </c>
      <c r="AI508" s="418" t="s">
        <v>5292</v>
      </c>
      <c r="AJ508" s="418" t="s">
        <v>5293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3793</v>
      </c>
      <c r="B509" s="104" t="s">
        <v>2682</v>
      </c>
      <c r="C509" s="122" t="s">
        <v>2680</v>
      </c>
      <c r="D509" s="292">
        <v>2331277</v>
      </c>
      <c r="E509" s="293" t="s">
        <v>19</v>
      </c>
      <c r="F509" s="293" t="s">
        <v>20</v>
      </c>
      <c r="G509" s="293" t="s">
        <v>3080</v>
      </c>
      <c r="H509" s="293" t="str">
        <f>IFERROR(VLOOKUP(G509,'Cadastro de assessores'!A:B,2,FALSE),"Não Cadastrado")</f>
        <v>18236</v>
      </c>
      <c r="I509" s="293"/>
      <c r="J509" s="24" t="s">
        <v>3796</v>
      </c>
      <c r="K509" s="293" t="s">
        <v>134</v>
      </c>
      <c r="L509" s="415">
        <v>44279</v>
      </c>
      <c r="M509" s="415">
        <v>44279</v>
      </c>
      <c r="N509" s="292"/>
      <c r="O509" s="292" t="s">
        <v>3817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127</v>
      </c>
      <c r="U509" s="292" t="s">
        <v>5146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3793</v>
      </c>
      <c r="B510" s="104" t="s">
        <v>5294</v>
      </c>
      <c r="C510" s="390" t="s">
        <v>5295</v>
      </c>
      <c r="D510" s="292">
        <v>3600186</v>
      </c>
      <c r="E510" s="292" t="s">
        <v>19</v>
      </c>
      <c r="F510" s="292" t="s">
        <v>66</v>
      </c>
      <c r="G510" s="292" t="s">
        <v>4142</v>
      </c>
      <c r="H510" s="292" t="str">
        <f>IFERROR(VLOOKUP(G510,'Cadastro de assessores'!A:B,2,FALSE),"Não Cadastrado")</f>
        <v>14294</v>
      </c>
      <c r="I510" s="292"/>
      <c r="J510" s="24" t="s">
        <v>125</v>
      </c>
      <c r="K510" s="292" t="s">
        <v>3802</v>
      </c>
      <c r="L510" s="387">
        <v>44454</v>
      </c>
      <c r="M510" s="387">
        <v>44454</v>
      </c>
      <c r="N510" s="391">
        <v>44684</v>
      </c>
      <c r="O510" s="299" t="s">
        <v>3810</v>
      </c>
      <c r="P510" s="388">
        <v>7.0000000000000001E-3</v>
      </c>
      <c r="Q510" s="167" t="s">
        <v>5296</v>
      </c>
      <c r="R510" s="417"/>
      <c r="S510" s="292" t="str">
        <f t="shared" si="54"/>
        <v>Não Qualificado</v>
      </c>
      <c r="T510" s="292" t="s">
        <v>127</v>
      </c>
      <c r="U510" s="299" t="s">
        <v>5297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2940</v>
      </c>
      <c r="BE510" s="339" t="s">
        <v>2940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3793</v>
      </c>
      <c r="B511" s="104" t="s">
        <v>2705</v>
      </c>
      <c r="C511" s="122" t="s">
        <v>5298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3796</v>
      </c>
      <c r="K511" s="293" t="s">
        <v>134</v>
      </c>
      <c r="L511" s="423">
        <v>44715</v>
      </c>
      <c r="M511" s="423">
        <v>44718</v>
      </c>
      <c r="N511" s="292"/>
      <c r="O511" s="292" t="s">
        <v>3810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127</v>
      </c>
      <c r="U511" s="292" t="s">
        <v>3849</v>
      </c>
      <c r="V511" s="292" t="s">
        <v>66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2940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3793</v>
      </c>
      <c r="B512" s="104" t="s">
        <v>2710</v>
      </c>
      <c r="C512" s="122" t="s">
        <v>2708</v>
      </c>
      <c r="D512" s="292">
        <v>4437315</v>
      </c>
      <c r="E512" s="293" t="s">
        <v>46</v>
      </c>
      <c r="F512" s="293" t="s">
        <v>20</v>
      </c>
      <c r="G512" s="293" t="s">
        <v>3861</v>
      </c>
      <c r="H512" s="293" t="str">
        <f>IFERROR(VLOOKUP(G512,'Cadastro de assessores'!A:B,2,FALSE),"Não Cadastrado")</f>
        <v>1441</v>
      </c>
      <c r="I512" s="293"/>
      <c r="J512" s="24" t="s">
        <v>3796</v>
      </c>
      <c r="K512" s="293" t="s">
        <v>134</v>
      </c>
      <c r="L512" s="415">
        <v>44082</v>
      </c>
      <c r="M512" s="415">
        <v>44082</v>
      </c>
      <c r="N512" s="292"/>
      <c r="O512" s="292" t="s">
        <v>3797</v>
      </c>
      <c r="P512" s="388">
        <v>0.02</v>
      </c>
      <c r="Q512" s="420" t="s">
        <v>5299</v>
      </c>
      <c r="R512" s="417"/>
      <c r="S512" s="292" t="str">
        <f t="shared" si="54"/>
        <v/>
      </c>
      <c r="T512" s="292" t="s">
        <v>127</v>
      </c>
      <c r="U512" s="292" t="s">
        <v>3819</v>
      </c>
      <c r="V512" s="292" t="s">
        <v>20</v>
      </c>
      <c r="W512" s="418" t="s">
        <v>3806</v>
      </c>
      <c r="X512" s="418" t="s">
        <v>3806</v>
      </c>
      <c r="Y512" s="418" t="s">
        <v>3806</v>
      </c>
      <c r="Z512" s="418" t="s">
        <v>3806</v>
      </c>
      <c r="AA512" s="418" t="s">
        <v>3806</v>
      </c>
      <c r="AB512" s="418" t="s">
        <v>3806</v>
      </c>
      <c r="AC512" s="418" t="s">
        <v>3806</v>
      </c>
      <c r="AD512" s="418" t="s">
        <v>3806</v>
      </c>
      <c r="AE512" s="418" t="s">
        <v>3806</v>
      </c>
      <c r="AF512" s="418" t="s">
        <v>3806</v>
      </c>
      <c r="AG512" s="418" t="s">
        <v>3806</v>
      </c>
      <c r="AH512" s="418" t="s">
        <v>5300</v>
      </c>
      <c r="AI512" s="418" t="s">
        <v>5301</v>
      </c>
      <c r="AJ512" s="418" t="s">
        <v>5302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3793</v>
      </c>
      <c r="B513" s="104" t="s">
        <v>5303</v>
      </c>
      <c r="C513" s="390" t="s">
        <v>5304</v>
      </c>
      <c r="D513" s="299">
        <v>5917601</v>
      </c>
      <c r="E513" s="292" t="s">
        <v>19</v>
      </c>
      <c r="F513" s="292" t="s">
        <v>20</v>
      </c>
      <c r="G513" s="292" t="s">
        <v>3689</v>
      </c>
      <c r="H513" s="292" t="str">
        <f>IFERROR(VLOOKUP(G513,'Cadastro de assessores'!A:B,2,FALSE),"Não Cadastrado")</f>
        <v>18266</v>
      </c>
      <c r="I513" s="292"/>
      <c r="J513" s="24" t="s">
        <v>125</v>
      </c>
      <c r="K513" s="292" t="s">
        <v>3802</v>
      </c>
      <c r="L513" s="387">
        <v>44397</v>
      </c>
      <c r="M513" s="387">
        <v>44397</v>
      </c>
      <c r="N513" s="391">
        <v>44622</v>
      </c>
      <c r="O513" s="299" t="s">
        <v>3817</v>
      </c>
      <c r="P513" s="388">
        <v>2.5000000000000001E-2</v>
      </c>
      <c r="Q513" s="167" t="s">
        <v>5305</v>
      </c>
      <c r="R513" s="417"/>
      <c r="S513" s="292" t="str">
        <f t="shared" si="54"/>
        <v>Não Qualificado</v>
      </c>
      <c r="T513" s="292" t="s">
        <v>127</v>
      </c>
      <c r="U513" s="292" t="s">
        <v>3805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2940</v>
      </c>
      <c r="BE513" s="339" t="s">
        <v>2940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3793</v>
      </c>
      <c r="B514" s="104" t="s">
        <v>2725</v>
      </c>
      <c r="C514" s="122" t="s">
        <v>5306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3796</v>
      </c>
      <c r="K514" s="293" t="s">
        <v>134</v>
      </c>
      <c r="L514" s="416">
        <v>44147</v>
      </c>
      <c r="M514" s="416">
        <v>44147</v>
      </c>
      <c r="N514" s="292"/>
      <c r="O514" s="292" t="s">
        <v>3817</v>
      </c>
      <c r="P514" s="388">
        <v>2.5000000000000001E-2</v>
      </c>
      <c r="Q514" s="420" t="s">
        <v>5307</v>
      </c>
      <c r="R514" s="417"/>
      <c r="S514" s="292" t="str">
        <f t="shared" si="54"/>
        <v>Não Qualificado</v>
      </c>
      <c r="T514" s="292" t="s">
        <v>127</v>
      </c>
      <c r="U514" s="292" t="s">
        <v>3819</v>
      </c>
      <c r="V514" s="292" t="s">
        <v>20</v>
      </c>
      <c r="W514" s="418" t="s">
        <v>3806</v>
      </c>
      <c r="X514" s="418" t="s">
        <v>3806</v>
      </c>
      <c r="Y514" s="418" t="s">
        <v>3806</v>
      </c>
      <c r="Z514" s="418" t="s">
        <v>3806</v>
      </c>
      <c r="AA514" s="418" t="s">
        <v>3806</v>
      </c>
      <c r="AB514" s="418" t="s">
        <v>3806</v>
      </c>
      <c r="AC514" s="418" t="s">
        <v>3806</v>
      </c>
      <c r="AD514" s="418" t="s">
        <v>3806</v>
      </c>
      <c r="AE514" s="418" t="s">
        <v>3806</v>
      </c>
      <c r="AF514" s="418" t="s">
        <v>3806</v>
      </c>
      <c r="AG514" s="418" t="s">
        <v>3806</v>
      </c>
      <c r="AH514" s="418" t="s">
        <v>3806</v>
      </c>
      <c r="AI514" s="418" t="s">
        <v>3806</v>
      </c>
      <c r="AJ514" s="418" t="s">
        <v>5308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3793</v>
      </c>
      <c r="B515" s="104" t="s">
        <v>2729</v>
      </c>
      <c r="C515" s="122" t="s">
        <v>5309</v>
      </c>
      <c r="D515" s="292">
        <v>6163576</v>
      </c>
      <c r="E515" s="293" t="s">
        <v>19</v>
      </c>
      <c r="F515" s="293" t="s">
        <v>66</v>
      </c>
      <c r="G515" s="293" t="s">
        <v>67</v>
      </c>
      <c r="H515" s="293" t="str">
        <f>IFERROR(VLOOKUP(G515,'Cadastro de assessores'!A:B,2,FALSE),"Não Cadastrado")</f>
        <v>18890</v>
      </c>
      <c r="I515" s="293"/>
      <c r="J515" s="24" t="s">
        <v>3796</v>
      </c>
      <c r="K515" s="293"/>
      <c r="L515" s="415"/>
      <c r="M515" s="415">
        <v>44847</v>
      </c>
      <c r="N515" s="292"/>
      <c r="O515" s="292" t="s">
        <v>3810</v>
      </c>
      <c r="P515" s="388">
        <v>0.01</v>
      </c>
      <c r="Q515" s="420" t="s">
        <v>5310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3793</v>
      </c>
      <c r="B516" s="104" t="s">
        <v>5311</v>
      </c>
      <c r="C516" s="122" t="s">
        <v>5312</v>
      </c>
      <c r="D516" s="292">
        <v>4418396</v>
      </c>
      <c r="E516" s="293" t="s">
        <v>46</v>
      </c>
      <c r="F516" s="293" t="s">
        <v>20</v>
      </c>
      <c r="G516" s="293" t="s">
        <v>5313</v>
      </c>
      <c r="H516" s="293" t="str">
        <f>IFERROR(VLOOKUP(G516,'Cadastro de assessores'!A:B,2,FALSE),"Não Cadastrado")</f>
        <v>16072</v>
      </c>
      <c r="I516" s="293"/>
      <c r="J516" s="24" t="s">
        <v>3796</v>
      </c>
      <c r="K516" s="293" t="s">
        <v>134</v>
      </c>
      <c r="L516" s="415">
        <v>44075</v>
      </c>
      <c r="M516" s="415">
        <v>44082</v>
      </c>
      <c r="N516" s="292"/>
      <c r="O516" s="292" t="s">
        <v>3797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127</v>
      </c>
      <c r="U516" s="292" t="s">
        <v>3805</v>
      </c>
      <c r="V516" s="292" t="s">
        <v>20</v>
      </c>
      <c r="W516" s="418" t="s">
        <v>3806</v>
      </c>
      <c r="X516" s="418" t="s">
        <v>3806</v>
      </c>
      <c r="Y516" s="418" t="s">
        <v>3806</v>
      </c>
      <c r="Z516" s="418" t="s">
        <v>3806</v>
      </c>
      <c r="AA516" s="418" t="s">
        <v>3806</v>
      </c>
      <c r="AB516" s="418" t="s">
        <v>3806</v>
      </c>
      <c r="AC516" s="418" t="s">
        <v>3806</v>
      </c>
      <c r="AD516" s="418" t="s">
        <v>3806</v>
      </c>
      <c r="AE516" s="418" t="s">
        <v>3806</v>
      </c>
      <c r="AF516" s="418" t="s">
        <v>3806</v>
      </c>
      <c r="AG516" s="418" t="s">
        <v>3806</v>
      </c>
      <c r="AH516" s="418" t="s">
        <v>5314</v>
      </c>
      <c r="AI516" s="418" t="s">
        <v>5315</v>
      </c>
      <c r="AJ516" s="418" t="s">
        <v>5316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3793</v>
      </c>
      <c r="B517" s="104" t="s">
        <v>5317</v>
      </c>
      <c r="C517" s="122" t="s">
        <v>5318</v>
      </c>
      <c r="D517" s="292">
        <v>2847489</v>
      </c>
      <c r="E517" s="292" t="s">
        <v>2931</v>
      </c>
      <c r="F517" s="292" t="s">
        <v>20</v>
      </c>
      <c r="G517" s="292" t="s">
        <v>2931</v>
      </c>
      <c r="H517" s="292" t="str">
        <f>IFERROR(VLOOKUP(G517,'Cadastro de assessores'!A:B,2,FALSE),"Não Cadastrado")</f>
        <v>18986</v>
      </c>
      <c r="I517" s="292"/>
      <c r="J517" s="24" t="s">
        <v>125</v>
      </c>
      <c r="K517" s="292" t="s">
        <v>3802</v>
      </c>
      <c r="L517" s="387">
        <v>43850</v>
      </c>
      <c r="M517" s="387">
        <v>43850</v>
      </c>
      <c r="N517" s="387">
        <v>44011</v>
      </c>
      <c r="O517" s="292" t="s">
        <v>3803</v>
      </c>
      <c r="P517" s="388">
        <v>1.4999999999999999E-2</v>
      </c>
      <c r="Q517" s="420" t="s">
        <v>5319</v>
      </c>
      <c r="R517" s="417"/>
      <c r="S517" s="292" t="str">
        <f t="shared" si="55"/>
        <v/>
      </c>
      <c r="T517" s="292" t="s">
        <v>127</v>
      </c>
      <c r="U517" s="292" t="s">
        <v>3999</v>
      </c>
      <c r="V517" s="292" t="s">
        <v>20</v>
      </c>
      <c r="W517" s="418" t="s">
        <v>3806</v>
      </c>
      <c r="X517" s="418" t="s">
        <v>3806</v>
      </c>
      <c r="Y517" s="418" t="s">
        <v>3806</v>
      </c>
      <c r="Z517" s="418" t="s">
        <v>5320</v>
      </c>
      <c r="AA517" s="418" t="s">
        <v>5321</v>
      </c>
      <c r="AB517" s="418" t="s">
        <v>5322</v>
      </c>
      <c r="AC517" s="418" t="s">
        <v>5323</v>
      </c>
      <c r="AD517" s="418" t="s">
        <v>5324</v>
      </c>
      <c r="AE517" s="418" t="s">
        <v>3806</v>
      </c>
      <c r="AF517" s="418" t="s">
        <v>3806</v>
      </c>
      <c r="AG517" s="418" t="s">
        <v>3806</v>
      </c>
      <c r="AH517" s="418"/>
      <c r="AI517" s="418" t="s">
        <v>3806</v>
      </c>
      <c r="AJ517" s="418"/>
      <c r="AK517" s="339"/>
      <c r="AL517" s="339"/>
      <c r="AM517" s="339" t="s">
        <v>3154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2940</v>
      </c>
      <c r="BE517" s="339" t="s">
        <v>2940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3793</v>
      </c>
      <c r="B518" s="104" t="s">
        <v>2734</v>
      </c>
      <c r="C518" s="122" t="s">
        <v>2732</v>
      </c>
      <c r="D518" s="292">
        <v>4879786</v>
      </c>
      <c r="E518" s="293" t="s">
        <v>46</v>
      </c>
      <c r="F518" s="293" t="s">
        <v>20</v>
      </c>
      <c r="G518" s="293" t="s">
        <v>4075</v>
      </c>
      <c r="H518" s="293" t="str">
        <f>IFERROR(VLOOKUP(G518,'Cadastro de assessores'!A:B,2,FALSE),"Não Cadastrado")</f>
        <v>15049</v>
      </c>
      <c r="I518" s="293"/>
      <c r="J518" s="24" t="s">
        <v>3796</v>
      </c>
      <c r="K518" s="293" t="s">
        <v>134</v>
      </c>
      <c r="L518" s="415">
        <v>44251</v>
      </c>
      <c r="M518" s="415">
        <v>44251</v>
      </c>
      <c r="N518" s="299"/>
      <c r="O518" s="299" t="s">
        <v>3850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127</v>
      </c>
      <c r="U518" s="292" t="s">
        <v>3819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3793</v>
      </c>
      <c r="B519" s="104" t="s">
        <v>2740</v>
      </c>
      <c r="C519" s="390" t="s">
        <v>5325</v>
      </c>
      <c r="D519" s="422">
        <v>2536076</v>
      </c>
      <c r="E519" s="293" t="s">
        <v>19</v>
      </c>
      <c r="F519" s="293" t="s">
        <v>66</v>
      </c>
      <c r="G519" s="293" t="s">
        <v>144</v>
      </c>
      <c r="H519" s="293">
        <f>IFERROR(VLOOKUP(G519,'Cadastro de assessores'!A:B,2,FALSE),"Não Cadastrado")</f>
        <v>12331</v>
      </c>
      <c r="I519" s="293"/>
      <c r="J519" s="24" t="s">
        <v>3796</v>
      </c>
      <c r="K519" s="293" t="s">
        <v>134</v>
      </c>
      <c r="L519" s="423">
        <v>44665</v>
      </c>
      <c r="M519" s="423">
        <v>44665</v>
      </c>
      <c r="N519" s="299"/>
      <c r="O519" s="299" t="s">
        <v>3813</v>
      </c>
      <c r="P519" s="388">
        <v>1.2E-2</v>
      </c>
      <c r="Q519" s="420" t="s">
        <v>5326</v>
      </c>
      <c r="R519" s="417"/>
      <c r="S519" s="292" t="str">
        <f t="shared" si="55"/>
        <v/>
      </c>
      <c r="T519" s="292" t="s">
        <v>127</v>
      </c>
      <c r="U519" s="292" t="s">
        <v>3849</v>
      </c>
      <c r="V519" s="292" t="s">
        <v>66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3793</v>
      </c>
      <c r="B520" s="104" t="s">
        <v>5327</v>
      </c>
      <c r="C520" s="122" t="s">
        <v>5328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3796</v>
      </c>
      <c r="K520" s="292" t="s">
        <v>134</v>
      </c>
      <c r="L520" s="416">
        <v>44130</v>
      </c>
      <c r="M520" s="416">
        <v>44130</v>
      </c>
      <c r="N520" s="292"/>
      <c r="O520" s="292" t="s">
        <v>3803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171</v>
      </c>
      <c r="U520" s="292" t="s">
        <v>3831</v>
      </c>
      <c r="V520" s="292" t="s">
        <v>20</v>
      </c>
      <c r="W520" s="418" t="s">
        <v>3806</v>
      </c>
      <c r="X520" s="418" t="s">
        <v>3806</v>
      </c>
      <c r="Y520" s="418" t="s">
        <v>3806</v>
      </c>
      <c r="Z520" s="418" t="s">
        <v>3806</v>
      </c>
      <c r="AA520" s="418" t="s">
        <v>3806</v>
      </c>
      <c r="AB520" s="418" t="s">
        <v>3806</v>
      </c>
      <c r="AC520" s="418" t="s">
        <v>3806</v>
      </c>
      <c r="AD520" s="418" t="s">
        <v>3806</v>
      </c>
      <c r="AE520" s="418" t="s">
        <v>3806</v>
      </c>
      <c r="AF520" s="418" t="s">
        <v>3806</v>
      </c>
      <c r="AG520" s="418" t="s">
        <v>3806</v>
      </c>
      <c r="AH520" s="418"/>
      <c r="AI520" s="418" t="s">
        <v>5329</v>
      </c>
      <c r="AJ520" s="418" t="s">
        <v>5330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3793</v>
      </c>
      <c r="B521" s="104" t="s">
        <v>5331</v>
      </c>
      <c r="C521" s="122" t="s">
        <v>5332</v>
      </c>
      <c r="D521" s="292">
        <v>4784067</v>
      </c>
      <c r="E521" s="292" t="s">
        <v>46</v>
      </c>
      <c r="F521" s="292" t="s">
        <v>20</v>
      </c>
      <c r="G521" s="292" t="s">
        <v>3861</v>
      </c>
      <c r="H521" s="292" t="str">
        <f>IFERROR(VLOOKUP(G521,'Cadastro de assessores'!A:B,2,FALSE),"Não Cadastrado")</f>
        <v>1441</v>
      </c>
      <c r="I521" s="292"/>
      <c r="J521" s="24" t="s">
        <v>125</v>
      </c>
      <c r="K521" s="292" t="s">
        <v>3802</v>
      </c>
      <c r="L521" s="387">
        <v>44215</v>
      </c>
      <c r="M521" s="387">
        <v>44215</v>
      </c>
      <c r="N521" s="387">
        <v>44291</v>
      </c>
      <c r="O521" s="292" t="s">
        <v>3797</v>
      </c>
      <c r="P521" s="388">
        <v>0.02</v>
      </c>
      <c r="Q521" s="420" t="s">
        <v>5333</v>
      </c>
      <c r="R521" s="417"/>
      <c r="S521" s="292" t="str">
        <f t="shared" si="55"/>
        <v/>
      </c>
      <c r="T521" s="299" t="s">
        <v>127</v>
      </c>
      <c r="U521" s="299" t="s">
        <v>3891</v>
      </c>
      <c r="V521" s="292" t="s">
        <v>3892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3806</v>
      </c>
      <c r="AI521" s="418" t="s">
        <v>5334</v>
      </c>
      <c r="AJ521" s="418" t="s">
        <v>5330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2940</v>
      </c>
      <c r="BE521" s="339" t="s">
        <v>2940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3793</v>
      </c>
      <c r="B522" s="104" t="s">
        <v>5335</v>
      </c>
      <c r="C522" s="122" t="s">
        <v>5336</v>
      </c>
      <c r="D522" s="292">
        <v>4809599</v>
      </c>
      <c r="E522" s="292" t="s">
        <v>19</v>
      </c>
      <c r="F522" s="292" t="s">
        <v>66</v>
      </c>
      <c r="G522" s="292" t="s">
        <v>316</v>
      </c>
      <c r="H522" s="292" t="str">
        <f>IFERROR(VLOOKUP(G522,'Cadastro de assessores'!A:B,2,FALSE),"Não Cadastrado")</f>
        <v>18009</v>
      </c>
      <c r="I522" s="292"/>
      <c r="J522" s="24" t="s">
        <v>125</v>
      </c>
      <c r="K522" s="292" t="s">
        <v>3802</v>
      </c>
      <c r="L522" s="387">
        <v>44229</v>
      </c>
      <c r="M522" s="387">
        <v>44229</v>
      </c>
      <c r="N522" s="387">
        <v>44683</v>
      </c>
      <c r="O522" s="292" t="s">
        <v>3797</v>
      </c>
      <c r="P522" s="388">
        <v>0.02</v>
      </c>
      <c r="Q522" s="420" t="s">
        <v>5337</v>
      </c>
      <c r="R522" s="417"/>
      <c r="S522" s="292" t="str">
        <f t="shared" si="55"/>
        <v>Não Qualificado</v>
      </c>
      <c r="T522" s="292" t="s">
        <v>127</v>
      </c>
      <c r="U522" s="299" t="s">
        <v>3891</v>
      </c>
      <c r="V522" s="292" t="s">
        <v>3892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2940</v>
      </c>
      <c r="BE522" s="339" t="s">
        <v>2940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3793</v>
      </c>
      <c r="B523" s="104" t="s">
        <v>5335</v>
      </c>
      <c r="C523" s="122" t="s">
        <v>5336</v>
      </c>
      <c r="D523" s="292">
        <v>4900263</v>
      </c>
      <c r="E523" s="292" t="s">
        <v>19</v>
      </c>
      <c r="F523" s="292" t="s">
        <v>66</v>
      </c>
      <c r="G523" s="292" t="s">
        <v>316</v>
      </c>
      <c r="H523" s="292" t="str">
        <f>IFERROR(VLOOKUP(G523,'Cadastro de assessores'!A:B,2,FALSE),"Não Cadastrado")</f>
        <v>18009</v>
      </c>
      <c r="I523" s="292"/>
      <c r="J523" s="24" t="s">
        <v>125</v>
      </c>
      <c r="K523" s="292" t="s">
        <v>3802</v>
      </c>
      <c r="L523" s="292" t="s">
        <v>3644</v>
      </c>
      <c r="M523" s="292" t="s">
        <v>3644</v>
      </c>
      <c r="N523" s="387">
        <v>44683</v>
      </c>
      <c r="O523" s="299" t="s">
        <v>3850</v>
      </c>
      <c r="P523" s="388">
        <v>8.0000000000000002E-3</v>
      </c>
      <c r="Q523" s="420" t="s">
        <v>5337</v>
      </c>
      <c r="R523" s="417"/>
      <c r="S523" s="292" t="str">
        <f t="shared" si="55"/>
        <v>Não Qualificado</v>
      </c>
      <c r="T523" s="292" t="s">
        <v>127</v>
      </c>
      <c r="U523" s="299" t="s">
        <v>3891</v>
      </c>
      <c r="V523" s="292" t="s">
        <v>3892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3154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2940</v>
      </c>
      <c r="BE523" s="339" t="s">
        <v>2940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3793</v>
      </c>
      <c r="B524" s="104" t="s">
        <v>5338</v>
      </c>
      <c r="C524" s="390" t="s">
        <v>5339</v>
      </c>
      <c r="D524" s="299">
        <v>4458091</v>
      </c>
      <c r="E524" s="293" t="s">
        <v>19</v>
      </c>
      <c r="F524" s="293" t="s">
        <v>20</v>
      </c>
      <c r="G524" s="293" t="s">
        <v>3166</v>
      </c>
      <c r="H524" s="293" t="str">
        <f>IFERROR(VLOOKUP(G524,'Cadastro de assessores'!A:B,2,FALSE),"Não Cadastrado")</f>
        <v>13444</v>
      </c>
      <c r="I524" s="293"/>
      <c r="J524" s="24" t="s">
        <v>3796</v>
      </c>
      <c r="K524" s="293" t="s">
        <v>134</v>
      </c>
      <c r="L524" s="415">
        <v>44372</v>
      </c>
      <c r="M524" s="415">
        <v>44372</v>
      </c>
      <c r="N524" s="299"/>
      <c r="O524" s="299" t="s">
        <v>4027</v>
      </c>
      <c r="P524" s="388">
        <v>0.02</v>
      </c>
      <c r="Q524" s="167"/>
      <c r="R524" s="417"/>
      <c r="S524" s="292" t="str">
        <f t="shared" si="55"/>
        <v/>
      </c>
      <c r="T524" s="292" t="s">
        <v>171</v>
      </c>
      <c r="U524" s="299" t="s">
        <v>4028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3793</v>
      </c>
      <c r="B525" s="104" t="s">
        <v>5340</v>
      </c>
      <c r="C525" s="122" t="s">
        <v>5341</v>
      </c>
      <c r="D525" s="292">
        <v>4729728</v>
      </c>
      <c r="E525" s="293" t="s">
        <v>46</v>
      </c>
      <c r="F525" s="293" t="s">
        <v>20</v>
      </c>
      <c r="G525" s="293" t="s">
        <v>4066</v>
      </c>
      <c r="H525" s="293" t="str">
        <f>IFERROR(VLOOKUP(G525,'Cadastro de assessores'!A:B,2,FALSE),"Não Cadastrado")</f>
        <v>19634</v>
      </c>
      <c r="I525" s="293"/>
      <c r="J525" s="24" t="s">
        <v>125</v>
      </c>
      <c r="K525" s="293" t="s">
        <v>134</v>
      </c>
      <c r="L525" s="415">
        <v>44203</v>
      </c>
      <c r="M525" s="415">
        <v>44203</v>
      </c>
      <c r="N525" s="419">
        <v>44911</v>
      </c>
      <c r="O525" s="292" t="s">
        <v>3803</v>
      </c>
      <c r="P525" s="388">
        <v>1.4999999999999999E-2</v>
      </c>
      <c r="Q525" s="420" t="s">
        <v>5342</v>
      </c>
      <c r="R525" s="417"/>
      <c r="S525" s="292" t="str">
        <f t="shared" si="55"/>
        <v>Não Qualificado</v>
      </c>
      <c r="T525" s="292" t="s">
        <v>127</v>
      </c>
      <c r="U525" s="292" t="s">
        <v>3805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3793</v>
      </c>
      <c r="B526" s="104" t="s">
        <v>5343</v>
      </c>
      <c r="C526" s="390" t="s">
        <v>5344</v>
      </c>
      <c r="D526" s="299">
        <v>6104436</v>
      </c>
      <c r="E526" s="292" t="s">
        <v>19</v>
      </c>
      <c r="F526" s="292" t="s">
        <v>66</v>
      </c>
      <c r="G526" s="292" t="s">
        <v>4142</v>
      </c>
      <c r="H526" s="292" t="str">
        <f>IFERROR(VLOOKUP(G526,'Cadastro de assessores'!A:B,2,FALSE),"Não Cadastrado")</f>
        <v>14294</v>
      </c>
      <c r="I526" s="292"/>
      <c r="J526" s="24" t="s">
        <v>125</v>
      </c>
      <c r="K526" s="292" t="s">
        <v>3802</v>
      </c>
      <c r="L526" s="387">
        <v>44420</v>
      </c>
      <c r="M526" s="387">
        <v>44420</v>
      </c>
      <c r="N526" s="387">
        <v>44812</v>
      </c>
      <c r="O526" s="292" t="s">
        <v>3813</v>
      </c>
      <c r="P526" s="388">
        <v>1.2E-2</v>
      </c>
      <c r="Q526" s="167" t="s">
        <v>5345</v>
      </c>
      <c r="R526" s="417"/>
      <c r="S526" s="292" t="str">
        <f t="shared" si="55"/>
        <v>Não Qualificado</v>
      </c>
      <c r="T526" s="292" t="s">
        <v>127</v>
      </c>
      <c r="U526" s="299" t="s">
        <v>3891</v>
      </c>
      <c r="V526" s="292" t="s">
        <v>3892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3793</v>
      </c>
      <c r="B527" s="104" t="s">
        <v>5346</v>
      </c>
      <c r="C527" s="122" t="s">
        <v>5347</v>
      </c>
      <c r="D527" s="292">
        <v>3608409</v>
      </c>
      <c r="E527" s="292" t="s">
        <v>46</v>
      </c>
      <c r="F527" s="292" t="s">
        <v>20</v>
      </c>
      <c r="G527" s="292" t="s">
        <v>4136</v>
      </c>
      <c r="H527" s="292" t="str">
        <f>IFERROR(VLOOKUP(G527,'Cadastro de assessores'!A:B,2,FALSE),"Não Cadastrado")</f>
        <v>17489</v>
      </c>
      <c r="I527" s="292"/>
      <c r="J527" s="24" t="s">
        <v>125</v>
      </c>
      <c r="K527" s="292" t="s">
        <v>3802</v>
      </c>
      <c r="L527" s="387">
        <v>44092</v>
      </c>
      <c r="M527" s="387">
        <v>44092</v>
      </c>
      <c r="N527" s="419">
        <v>44490</v>
      </c>
      <c r="O527" s="292" t="s">
        <v>3797</v>
      </c>
      <c r="P527" s="388">
        <v>0.02</v>
      </c>
      <c r="Q527" s="420" t="s">
        <v>5348</v>
      </c>
      <c r="R527" s="417"/>
      <c r="S527" s="292" t="str">
        <f t="shared" si="55"/>
        <v>Não Qualificado</v>
      </c>
      <c r="T527" s="292" t="s">
        <v>127</v>
      </c>
      <c r="U527" s="292" t="s">
        <v>3824</v>
      </c>
      <c r="V527" s="292" t="s">
        <v>20</v>
      </c>
      <c r="W527" s="418" t="s">
        <v>3806</v>
      </c>
      <c r="X527" s="418" t="s">
        <v>3806</v>
      </c>
      <c r="Y527" s="418" t="s">
        <v>3806</v>
      </c>
      <c r="Z527" s="418" t="s">
        <v>3806</v>
      </c>
      <c r="AA527" s="418" t="s">
        <v>3806</v>
      </c>
      <c r="AB527" s="418" t="s">
        <v>3806</v>
      </c>
      <c r="AC527" s="418" t="s">
        <v>3806</v>
      </c>
      <c r="AD527" s="418" t="s">
        <v>3806</v>
      </c>
      <c r="AE527" s="418" t="s">
        <v>3806</v>
      </c>
      <c r="AF527" s="418" t="s">
        <v>3806</v>
      </c>
      <c r="AG527" s="418" t="s">
        <v>3806</v>
      </c>
      <c r="AH527" s="418" t="s">
        <v>5349</v>
      </c>
      <c r="AI527" s="418" t="s">
        <v>5350</v>
      </c>
      <c r="AJ527" s="418" t="s">
        <v>5351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2940</v>
      </c>
      <c r="BE527" s="339" t="s">
        <v>2940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3793</v>
      </c>
      <c r="B528" s="104" t="s">
        <v>5352</v>
      </c>
      <c r="C528" s="486" t="s">
        <v>5353</v>
      </c>
      <c r="D528" s="292">
        <v>4465050</v>
      </c>
      <c r="E528" s="293" t="s">
        <v>19</v>
      </c>
      <c r="F528" s="293" t="s">
        <v>66</v>
      </c>
      <c r="G528" s="293" t="s">
        <v>316</v>
      </c>
      <c r="H528" s="293" t="str">
        <f>IFERROR(VLOOKUP(G528,'Cadastro de assessores'!A:B,2,FALSE),"Não Cadastrado")</f>
        <v>18009</v>
      </c>
      <c r="I528" s="293"/>
      <c r="J528" s="24" t="s">
        <v>125</v>
      </c>
      <c r="K528" s="292" t="s">
        <v>3802</v>
      </c>
      <c r="L528" s="415">
        <v>44103</v>
      </c>
      <c r="M528" s="415">
        <v>44104</v>
      </c>
      <c r="N528" s="292"/>
      <c r="O528" s="292" t="s">
        <v>3803</v>
      </c>
      <c r="P528" s="388">
        <v>1.4999999999999999E-2</v>
      </c>
      <c r="Q528" s="484" t="s">
        <v>5354</v>
      </c>
      <c r="R528" s="417"/>
      <c r="S528" s="292" t="str">
        <f t="shared" si="55"/>
        <v/>
      </c>
      <c r="T528" s="292" t="s">
        <v>127</v>
      </c>
      <c r="U528" s="292" t="s">
        <v>3805</v>
      </c>
      <c r="V528" s="292" t="s">
        <v>20</v>
      </c>
      <c r="W528" s="418" t="s">
        <v>3806</v>
      </c>
      <c r="X528" s="418" t="s">
        <v>3806</v>
      </c>
      <c r="Y528" s="418" t="s">
        <v>3806</v>
      </c>
      <c r="Z528" s="418" t="s">
        <v>3806</v>
      </c>
      <c r="AA528" s="418" t="s">
        <v>3806</v>
      </c>
      <c r="AB528" s="418" t="s">
        <v>3806</v>
      </c>
      <c r="AC528" s="418" t="s">
        <v>3806</v>
      </c>
      <c r="AD528" s="418" t="s">
        <v>3806</v>
      </c>
      <c r="AE528" s="418" t="s">
        <v>3806</v>
      </c>
      <c r="AF528" s="418" t="s">
        <v>3806</v>
      </c>
      <c r="AG528" s="418" t="s">
        <v>3806</v>
      </c>
      <c r="AH528" s="418" t="s">
        <v>5355</v>
      </c>
      <c r="AI528" s="418" t="s">
        <v>5356</v>
      </c>
      <c r="AJ528" s="418" t="s">
        <v>5357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3793</v>
      </c>
      <c r="B529" s="104" t="s">
        <v>5358</v>
      </c>
      <c r="C529" s="390" t="s">
        <v>5359</v>
      </c>
      <c r="D529" s="299">
        <v>5678151</v>
      </c>
      <c r="E529" s="292" t="s">
        <v>46</v>
      </c>
      <c r="F529" s="292" t="s">
        <v>20</v>
      </c>
      <c r="G529" s="292" t="s">
        <v>4459</v>
      </c>
      <c r="H529" s="292" t="str">
        <f>IFERROR(VLOOKUP(G529,'Cadastro de assessores'!A:B,2,FALSE),"Não Cadastrado")</f>
        <v>14091</v>
      </c>
      <c r="I529" s="292"/>
      <c r="J529" s="24" t="s">
        <v>125</v>
      </c>
      <c r="K529" s="292" t="s">
        <v>3802</v>
      </c>
      <c r="L529" s="387">
        <v>44397</v>
      </c>
      <c r="M529" s="387">
        <v>44397</v>
      </c>
      <c r="N529" s="387">
        <v>44473</v>
      </c>
      <c r="O529" s="292" t="s">
        <v>3813</v>
      </c>
      <c r="P529" s="388">
        <v>1.2E-2</v>
      </c>
      <c r="Q529" s="420" t="s">
        <v>3834</v>
      </c>
      <c r="R529" s="417"/>
      <c r="S529" s="292" t="str">
        <f t="shared" si="55"/>
        <v>Não Qualificado</v>
      </c>
      <c r="T529" s="299" t="s">
        <v>171</v>
      </c>
      <c r="U529" s="299" t="s">
        <v>3805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2940</v>
      </c>
      <c r="BE529" s="339" t="s">
        <v>2940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3793</v>
      </c>
      <c r="B530" s="104" t="s">
        <v>5360</v>
      </c>
      <c r="C530" s="394" t="s">
        <v>5361</v>
      </c>
      <c r="D530" s="426">
        <v>2129230</v>
      </c>
      <c r="E530" s="293" t="s">
        <v>19</v>
      </c>
      <c r="F530" s="293" t="s">
        <v>20</v>
      </c>
      <c r="G530" s="426" t="s">
        <v>3689</v>
      </c>
      <c r="H530" s="426" t="str">
        <f>IFERROR(VLOOKUP(G530,'Cadastro de assessores'!A:B,2,FALSE),"Não Cadastrado")</f>
        <v>18266</v>
      </c>
      <c r="I530" s="426"/>
      <c r="J530" s="24" t="s">
        <v>3796</v>
      </c>
      <c r="K530" s="299" t="s">
        <v>134</v>
      </c>
      <c r="L530" s="415">
        <v>44426</v>
      </c>
      <c r="M530" s="415">
        <v>44426</v>
      </c>
      <c r="N530" s="426"/>
      <c r="O530" s="426" t="s">
        <v>3817</v>
      </c>
      <c r="P530" s="428">
        <v>2.5000000000000001E-2</v>
      </c>
      <c r="Q530" s="487" t="s">
        <v>5362</v>
      </c>
      <c r="R530" s="417"/>
      <c r="S530" s="292" t="str">
        <f t="shared" si="55"/>
        <v>Qualificado</v>
      </c>
      <c r="T530" s="299" t="s">
        <v>127</v>
      </c>
      <c r="U530" s="299" t="s">
        <v>4057</v>
      </c>
      <c r="V530" s="299" t="s">
        <v>878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3793</v>
      </c>
      <c r="B531" s="104" t="s">
        <v>2804</v>
      </c>
      <c r="C531" s="390" t="s">
        <v>5363</v>
      </c>
      <c r="D531" s="299">
        <v>417444</v>
      </c>
      <c r="E531" s="293" t="s">
        <v>19</v>
      </c>
      <c r="F531" s="293" t="s">
        <v>20</v>
      </c>
      <c r="G531" s="293" t="s">
        <v>3689</v>
      </c>
      <c r="H531" s="293" t="str">
        <f>IFERROR(VLOOKUP(G531,'Cadastro de assessores'!A:B,2,FALSE),"Não Cadastrado")</f>
        <v>18266</v>
      </c>
      <c r="I531" s="293"/>
      <c r="J531" s="24" t="s">
        <v>134</v>
      </c>
      <c r="K531" s="299" t="s">
        <v>134</v>
      </c>
      <c r="L531" s="415">
        <v>44329</v>
      </c>
      <c r="M531" s="415">
        <v>44344</v>
      </c>
      <c r="N531" s="299"/>
      <c r="O531" s="299" t="s">
        <v>3850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127</v>
      </c>
      <c r="U531" s="299" t="s">
        <v>4057</v>
      </c>
      <c r="V531" s="299" t="s">
        <v>878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3793</v>
      </c>
      <c r="B532" s="104" t="s">
        <v>5364</v>
      </c>
      <c r="C532" s="390" t="s">
        <v>5365</v>
      </c>
      <c r="D532" s="299">
        <v>4841689</v>
      </c>
      <c r="E532" s="293" t="s">
        <v>19</v>
      </c>
      <c r="F532" s="293" t="s">
        <v>66</v>
      </c>
      <c r="G532" s="293" t="s">
        <v>316</v>
      </c>
      <c r="H532" s="293" t="str">
        <f>IFERROR(VLOOKUP(G532,'Cadastro de assessores'!A:B,2,FALSE),"Não Cadastrado")</f>
        <v>18009</v>
      </c>
      <c r="I532" s="293"/>
      <c r="J532" s="24" t="s">
        <v>125</v>
      </c>
      <c r="K532" s="439" t="s">
        <v>134</v>
      </c>
      <c r="L532" s="415">
        <v>44256</v>
      </c>
      <c r="M532" s="415">
        <v>44256</v>
      </c>
      <c r="N532" s="299"/>
      <c r="O532" s="299" t="s">
        <v>3797</v>
      </c>
      <c r="P532" s="388">
        <v>0.02</v>
      </c>
      <c r="Q532" s="420" t="s">
        <v>5366</v>
      </c>
      <c r="R532" s="417"/>
      <c r="S532" s="292" t="str">
        <f t="shared" si="55"/>
        <v/>
      </c>
      <c r="T532" s="292" t="s">
        <v>127</v>
      </c>
      <c r="U532" s="292" t="s">
        <v>3854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3154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3793</v>
      </c>
      <c r="B533" s="104" t="s">
        <v>2815</v>
      </c>
      <c r="C533" s="390" t="s">
        <v>5367</v>
      </c>
      <c r="D533" s="422">
        <v>4145752</v>
      </c>
      <c r="E533" s="293" t="s">
        <v>19</v>
      </c>
      <c r="F533" s="293" t="s">
        <v>66</v>
      </c>
      <c r="G533" s="293" t="s">
        <v>144</v>
      </c>
      <c r="H533" s="426">
        <f>IFERROR(VLOOKUP(G533,'Cadastro de assessores'!A:B,2,FALSE),"Não Cadastrado")</f>
        <v>12331</v>
      </c>
      <c r="I533" s="426"/>
      <c r="J533" s="24" t="s">
        <v>3796</v>
      </c>
      <c r="K533" s="299" t="s">
        <v>134</v>
      </c>
      <c r="L533" s="423">
        <v>44651</v>
      </c>
      <c r="M533" s="423">
        <v>44655</v>
      </c>
      <c r="N533" s="426"/>
      <c r="O533" s="426" t="s">
        <v>3810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127</v>
      </c>
      <c r="U533" s="292" t="s">
        <v>3849</v>
      </c>
      <c r="V533" s="292" t="s">
        <v>66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3793</v>
      </c>
      <c r="B534" s="104" t="s">
        <v>2845</v>
      </c>
      <c r="C534" s="390" t="s">
        <v>5368</v>
      </c>
      <c r="D534" s="422">
        <v>2897612</v>
      </c>
      <c r="E534" s="293" t="s">
        <v>19</v>
      </c>
      <c r="F534" s="293" t="s">
        <v>5369</v>
      </c>
      <c r="G534" s="293" t="s">
        <v>144</v>
      </c>
      <c r="H534" s="426">
        <f>IFERROR(VLOOKUP(G534,'Cadastro de assessores'!A:B,2,FALSE),"Não Cadastrado")</f>
        <v>12331</v>
      </c>
      <c r="I534" s="426"/>
      <c r="J534" s="24" t="s">
        <v>134</v>
      </c>
      <c r="K534" s="299" t="s">
        <v>134</v>
      </c>
      <c r="L534" s="423">
        <v>44812</v>
      </c>
      <c r="M534" s="423">
        <v>44812</v>
      </c>
      <c r="N534" s="426"/>
      <c r="O534" s="426" t="s">
        <v>3813</v>
      </c>
      <c r="P534" s="428">
        <v>1.2E-2</v>
      </c>
      <c r="Q534" s="487" t="s">
        <v>4553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3793</v>
      </c>
      <c r="B535" s="104" t="s">
        <v>5370</v>
      </c>
      <c r="C535" s="122" t="s">
        <v>5371</v>
      </c>
      <c r="D535" s="292">
        <v>4424587</v>
      </c>
      <c r="E535" s="292" t="s">
        <v>19</v>
      </c>
      <c r="F535" s="292" t="s">
        <v>20</v>
      </c>
      <c r="G535" s="292" t="s">
        <v>3801</v>
      </c>
      <c r="H535" s="292" t="str">
        <f>IFERROR(VLOOKUP(G535,'Cadastro de assessores'!A:B,2,FALSE),"Não Cadastrado")</f>
        <v>17679</v>
      </c>
      <c r="I535" s="292"/>
      <c r="J535" s="24" t="s">
        <v>125</v>
      </c>
      <c r="K535" s="292" t="s">
        <v>3802</v>
      </c>
      <c r="L535" s="387">
        <v>44088</v>
      </c>
      <c r="M535" s="387">
        <v>44088</v>
      </c>
      <c r="N535" s="387">
        <v>44460</v>
      </c>
      <c r="O535" s="292" t="s">
        <v>3817</v>
      </c>
      <c r="P535" s="388">
        <v>2.5000000000000001E-2</v>
      </c>
      <c r="Q535" s="420" t="s">
        <v>5372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127</v>
      </c>
      <c r="U535" s="292" t="s">
        <v>3941</v>
      </c>
      <c r="V535" s="292" t="s">
        <v>20</v>
      </c>
      <c r="W535" s="418" t="s">
        <v>3806</v>
      </c>
      <c r="X535" s="418" t="s">
        <v>3806</v>
      </c>
      <c r="Y535" s="418" t="s">
        <v>3806</v>
      </c>
      <c r="Z535" s="418" t="s">
        <v>3806</v>
      </c>
      <c r="AA535" s="418" t="s">
        <v>3806</v>
      </c>
      <c r="AB535" s="418" t="s">
        <v>3806</v>
      </c>
      <c r="AC535" s="418" t="s">
        <v>3806</v>
      </c>
      <c r="AD535" s="418" t="s">
        <v>3806</v>
      </c>
      <c r="AE535" s="418" t="s">
        <v>3806</v>
      </c>
      <c r="AF535" s="418" t="s">
        <v>3806</v>
      </c>
      <c r="AG535" s="418" t="s">
        <v>3806</v>
      </c>
      <c r="AH535" s="418" t="s">
        <v>5373</v>
      </c>
      <c r="AI535" s="418" t="s">
        <v>5374</v>
      </c>
      <c r="AJ535" s="418" t="s">
        <v>5375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2940</v>
      </c>
      <c r="BE535" s="339" t="s">
        <v>2940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3793</v>
      </c>
      <c r="B536" s="104" t="s">
        <v>5376</v>
      </c>
      <c r="C536" s="122" t="s">
        <v>5377</v>
      </c>
      <c r="D536" s="292">
        <v>480283</v>
      </c>
      <c r="E536" s="292" t="s">
        <v>19</v>
      </c>
      <c r="F536" s="292" t="s">
        <v>20</v>
      </c>
      <c r="G536" s="292" t="s">
        <v>4309</v>
      </c>
      <c r="H536" s="292" t="str">
        <f>IFERROR(VLOOKUP(G536,'Cadastro de assessores'!A:B,2,FALSE),"Não Cadastrado")</f>
        <v>12846</v>
      </c>
      <c r="I536" s="292"/>
      <c r="J536" s="24" t="s">
        <v>125</v>
      </c>
      <c r="K536" s="292" t="s">
        <v>3802</v>
      </c>
      <c r="L536" s="387">
        <v>44166</v>
      </c>
      <c r="M536" s="387">
        <v>44166</v>
      </c>
      <c r="N536" s="387">
        <v>44378</v>
      </c>
      <c r="O536" s="292" t="s">
        <v>3803</v>
      </c>
      <c r="P536" s="388">
        <v>1.2E-2</v>
      </c>
      <c r="Q536" s="420" t="s">
        <v>4310</v>
      </c>
      <c r="R536" s="417"/>
      <c r="S536" s="292" t="str">
        <f t="shared" si="56"/>
        <v/>
      </c>
      <c r="T536" s="292" t="s">
        <v>127</v>
      </c>
      <c r="U536" s="292" t="s">
        <v>3840</v>
      </c>
      <c r="V536" s="292" t="s">
        <v>20</v>
      </c>
      <c r="W536" s="418" t="s">
        <v>3806</v>
      </c>
      <c r="X536" s="418" t="s">
        <v>3806</v>
      </c>
      <c r="Y536" s="418" t="s">
        <v>3806</v>
      </c>
      <c r="Z536" s="418" t="s">
        <v>3806</v>
      </c>
      <c r="AA536" s="418" t="s">
        <v>3806</v>
      </c>
      <c r="AB536" s="418" t="s">
        <v>3806</v>
      </c>
      <c r="AC536" s="418" t="s">
        <v>3806</v>
      </c>
      <c r="AD536" s="418" t="s">
        <v>3806</v>
      </c>
      <c r="AE536" s="418" t="s">
        <v>3806</v>
      </c>
      <c r="AF536" s="418" t="s">
        <v>3806</v>
      </c>
      <c r="AG536" s="418" t="s">
        <v>3806</v>
      </c>
      <c r="AH536" s="418" t="s">
        <v>3806</v>
      </c>
      <c r="AI536" s="418" t="s">
        <v>3806</v>
      </c>
      <c r="AJ536" s="418" t="s">
        <v>3806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2940</v>
      </c>
      <c r="BE536" s="339" t="s">
        <v>2940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3793</v>
      </c>
      <c r="B537" s="104" t="s">
        <v>2854</v>
      </c>
      <c r="C537" s="122" t="s">
        <v>2852</v>
      </c>
      <c r="D537" s="292">
        <v>2049496</v>
      </c>
      <c r="E537" s="293" t="s">
        <v>2931</v>
      </c>
      <c r="F537" s="293" t="s">
        <v>20</v>
      </c>
      <c r="G537" s="293" t="s">
        <v>2931</v>
      </c>
      <c r="H537" s="293" t="str">
        <f>IFERROR(VLOOKUP(G537,'Cadastro de assessores'!A:B,2,FALSE),"Não Cadastrado")</f>
        <v>18986</v>
      </c>
      <c r="I537" s="293"/>
      <c r="J537" s="24" t="s">
        <v>134</v>
      </c>
      <c r="K537" s="293" t="s">
        <v>134</v>
      </c>
      <c r="L537" s="415">
        <v>43655</v>
      </c>
      <c r="M537" s="415">
        <v>43696</v>
      </c>
      <c r="N537" s="292"/>
      <c r="O537" s="292" t="s">
        <v>4196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127</v>
      </c>
      <c r="U537" s="292" t="s">
        <v>3941</v>
      </c>
      <c r="V537" s="292" t="s">
        <v>20</v>
      </c>
      <c r="W537" s="418" t="s">
        <v>5378</v>
      </c>
      <c r="X537" s="418"/>
      <c r="Y537" s="418" t="s">
        <v>5379</v>
      </c>
      <c r="Z537" s="418" t="s">
        <v>5380</v>
      </c>
      <c r="AA537" s="418" t="s">
        <v>5381</v>
      </c>
      <c r="AB537" s="418" t="s">
        <v>5382</v>
      </c>
      <c r="AC537" s="418" t="s">
        <v>5383</v>
      </c>
      <c r="AD537" s="418" t="s">
        <v>5384</v>
      </c>
      <c r="AE537" s="418" t="s">
        <v>5385</v>
      </c>
      <c r="AF537" s="418" t="s">
        <v>5386</v>
      </c>
      <c r="AG537" s="418" t="s">
        <v>5387</v>
      </c>
      <c r="AH537" s="418" t="s">
        <v>5388</v>
      </c>
      <c r="AI537" s="418" t="s">
        <v>5389</v>
      </c>
      <c r="AJ537" s="418" t="s">
        <v>5390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3793</v>
      </c>
      <c r="B538" s="104" t="s">
        <v>5391</v>
      </c>
      <c r="C538" s="86" t="s">
        <v>5392</v>
      </c>
      <c r="D538" s="426">
        <v>7086435</v>
      </c>
      <c r="E538" s="293" t="s">
        <v>19</v>
      </c>
      <c r="F538" s="293" t="s">
        <v>20</v>
      </c>
      <c r="G538" s="293" t="s">
        <v>935</v>
      </c>
      <c r="H538" s="293">
        <f>IFERROR(VLOOKUP(G538,'Cadastro de assessores'!A:B,2,FALSE),"Não Cadastrado")</f>
        <v>12342</v>
      </c>
      <c r="I538" s="293"/>
      <c r="J538" s="24" t="s">
        <v>125</v>
      </c>
      <c r="K538" s="293" t="s">
        <v>134</v>
      </c>
      <c r="L538" s="416">
        <v>44510</v>
      </c>
      <c r="M538" s="416">
        <v>44517</v>
      </c>
      <c r="N538" s="299"/>
      <c r="O538" s="299" t="s">
        <v>3803</v>
      </c>
      <c r="P538" s="388">
        <v>1.4999999999999999E-2</v>
      </c>
      <c r="Q538" s="311" t="s">
        <v>5393</v>
      </c>
      <c r="R538" s="417"/>
      <c r="S538" s="292" t="str">
        <f t="shared" si="56"/>
        <v/>
      </c>
      <c r="T538" s="299" t="s">
        <v>127</v>
      </c>
      <c r="U538" s="299" t="s">
        <v>3931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3793</v>
      </c>
      <c r="B539" s="104" t="s">
        <v>5394</v>
      </c>
      <c r="C539" s="390" t="s">
        <v>5395</v>
      </c>
      <c r="D539" s="293">
        <v>226343</v>
      </c>
      <c r="E539" s="293" t="s">
        <v>19</v>
      </c>
      <c r="F539" s="293" t="s">
        <v>66</v>
      </c>
      <c r="G539" s="293" t="s">
        <v>4142</v>
      </c>
      <c r="H539" s="293" t="str">
        <f>IFERROR(VLOOKUP(G539,'Cadastro de assessores'!A:B,2,FALSE),"Não Cadastrado")</f>
        <v>14294</v>
      </c>
      <c r="I539" s="293"/>
      <c r="J539" s="24" t="s">
        <v>3796</v>
      </c>
      <c r="K539" s="439" t="s">
        <v>134</v>
      </c>
      <c r="L539" s="415">
        <v>44452</v>
      </c>
      <c r="M539" s="415">
        <v>44469</v>
      </c>
      <c r="N539" s="299"/>
      <c r="O539" s="299" t="s">
        <v>3797</v>
      </c>
      <c r="P539" s="388">
        <v>0.02</v>
      </c>
      <c r="Q539" s="167" t="s">
        <v>4505</v>
      </c>
      <c r="R539" s="417"/>
      <c r="S539" s="292" t="str">
        <f t="shared" si="56"/>
        <v>Não Qualificado</v>
      </c>
      <c r="T539" s="299" t="s">
        <v>127</v>
      </c>
      <c r="U539" s="299" t="s">
        <v>4506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3793</v>
      </c>
      <c r="B540" s="104" t="s">
        <v>2865</v>
      </c>
      <c r="C540" s="122" t="s">
        <v>5396</v>
      </c>
      <c r="D540" s="292">
        <v>9009128</v>
      </c>
      <c r="E540" s="293" t="s">
        <v>19</v>
      </c>
      <c r="F540" s="293" t="s">
        <v>66</v>
      </c>
      <c r="G540" s="293" t="s">
        <v>144</v>
      </c>
      <c r="H540" s="293">
        <f>IFERROR(VLOOKUP(G540,'Cadastro de assessores'!A:B,2,FALSE),"Não Cadastrado")</f>
        <v>12331</v>
      </c>
      <c r="I540" s="293"/>
      <c r="J540" s="24" t="s">
        <v>3796</v>
      </c>
      <c r="K540" s="292" t="s">
        <v>145</v>
      </c>
      <c r="L540" s="293" t="s">
        <v>3154</v>
      </c>
      <c r="M540" s="416">
        <v>44848</v>
      </c>
      <c r="N540" s="292"/>
      <c r="O540" s="292" t="s">
        <v>3810</v>
      </c>
      <c r="P540" s="388">
        <v>7.0000000000000001E-3</v>
      </c>
      <c r="Q540" s="420"/>
      <c r="R540" s="417"/>
      <c r="S540" s="292"/>
      <c r="T540" s="292" t="s">
        <v>127</v>
      </c>
      <c r="U540" s="292"/>
      <c r="V540" s="292" t="s">
        <v>66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3793</v>
      </c>
      <c r="B541" s="104" t="s">
        <v>5397</v>
      </c>
      <c r="C541" s="122" t="s">
        <v>5398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134</v>
      </c>
      <c r="K541" s="293" t="s">
        <v>134</v>
      </c>
      <c r="L541" s="416">
        <v>44134</v>
      </c>
      <c r="M541" s="416">
        <v>44134</v>
      </c>
      <c r="N541" s="292"/>
      <c r="O541" s="292" t="s">
        <v>3797</v>
      </c>
      <c r="P541" s="388">
        <v>0.02</v>
      </c>
      <c r="Q541" s="420" t="s">
        <v>5399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171</v>
      </c>
      <c r="U541" s="292" t="s">
        <v>3824</v>
      </c>
      <c r="V541" s="292" t="s">
        <v>20</v>
      </c>
      <c r="W541" s="418" t="s">
        <v>3806</v>
      </c>
      <c r="X541" s="418" t="s">
        <v>3806</v>
      </c>
      <c r="Y541" s="418" t="s">
        <v>3806</v>
      </c>
      <c r="Z541" s="418" t="s">
        <v>3806</v>
      </c>
      <c r="AA541" s="418" t="s">
        <v>3806</v>
      </c>
      <c r="AB541" s="418" t="s">
        <v>3806</v>
      </c>
      <c r="AC541" s="418" t="s">
        <v>3806</v>
      </c>
      <c r="AD541" s="418" t="s">
        <v>3806</v>
      </c>
      <c r="AE541" s="418" t="s">
        <v>3806</v>
      </c>
      <c r="AF541" s="418" t="s">
        <v>3806</v>
      </c>
      <c r="AG541" s="418" t="s">
        <v>3806</v>
      </c>
      <c r="AH541" s="418" t="s">
        <v>3806</v>
      </c>
      <c r="AI541" s="418" t="s">
        <v>5400</v>
      </c>
      <c r="AJ541" s="418" t="s">
        <v>5401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3793</v>
      </c>
      <c r="B542" s="104" t="s">
        <v>5402</v>
      </c>
      <c r="C542" s="122" t="s">
        <v>5403</v>
      </c>
      <c r="D542" s="292">
        <v>4906342</v>
      </c>
      <c r="E542" s="292" t="s">
        <v>19</v>
      </c>
      <c r="F542" s="292" t="s">
        <v>66</v>
      </c>
      <c r="G542" s="292" t="s">
        <v>316</v>
      </c>
      <c r="H542" s="292" t="str">
        <f>IFERROR(VLOOKUP(G542,'Cadastro de assessores'!A:B,2,FALSE),"Não Cadastrado")</f>
        <v>18009</v>
      </c>
      <c r="I542" s="292"/>
      <c r="J542" s="24" t="s">
        <v>125</v>
      </c>
      <c r="K542" s="292" t="s">
        <v>3802</v>
      </c>
      <c r="L542" s="387"/>
      <c r="M542" s="387">
        <v>44294</v>
      </c>
      <c r="N542" s="447">
        <v>44651</v>
      </c>
      <c r="O542" s="299" t="s">
        <v>3797</v>
      </c>
      <c r="P542" s="388">
        <v>0.02</v>
      </c>
      <c r="Q542" s="420" t="s">
        <v>5404</v>
      </c>
      <c r="R542" s="417"/>
      <c r="S542" s="292" t="str">
        <f t="shared" si="57"/>
        <v>Não Qualificado</v>
      </c>
      <c r="T542" s="292" t="s">
        <v>127</v>
      </c>
      <c r="U542" s="292" t="s">
        <v>3854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3154</v>
      </c>
      <c r="AN542" s="339" t="s">
        <v>3154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2940</v>
      </c>
      <c r="BE542" s="339" t="s">
        <v>2940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3793</v>
      </c>
      <c r="B543" s="104" t="s">
        <v>2879</v>
      </c>
      <c r="C543" s="122" t="s">
        <v>5405</v>
      </c>
      <c r="D543" s="292">
        <v>4733764</v>
      </c>
      <c r="E543" s="292" t="s">
        <v>46</v>
      </c>
      <c r="F543" s="292" t="s">
        <v>20</v>
      </c>
      <c r="G543" s="292" t="s">
        <v>5406</v>
      </c>
      <c r="H543" s="292" t="str">
        <f>IFERROR(VLOOKUP(G543,'Cadastro de assessores'!A:B,2,FALSE),"Não Cadastrado")</f>
        <v>18992</v>
      </c>
      <c r="I543" s="292"/>
      <c r="J543" s="24" t="s">
        <v>125</v>
      </c>
      <c r="K543" s="292" t="s">
        <v>3802</v>
      </c>
      <c r="L543" s="387"/>
      <c r="M543" s="387">
        <v>44209</v>
      </c>
      <c r="N543" s="447">
        <v>44512</v>
      </c>
      <c r="O543" s="299" t="s">
        <v>3850</v>
      </c>
      <c r="P543" s="388">
        <v>8.0000000000000002E-3</v>
      </c>
      <c r="Q543" s="420" t="s">
        <v>5407</v>
      </c>
      <c r="R543" s="417"/>
      <c r="S543" s="292" t="str">
        <f t="shared" si="57"/>
        <v>Não Qualificado</v>
      </c>
      <c r="T543" s="292" t="s">
        <v>127</v>
      </c>
      <c r="U543" s="292" t="s">
        <v>3819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2940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2886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2888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5408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5409</v>
      </c>
      <c r="BK547" s="208" t="s">
        <v>5410</v>
      </c>
      <c r="BL547" s="208" t="s">
        <v>5411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5412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3793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2929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3579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3613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5413</v>
      </c>
      <c r="BJ554" s="208" t="s">
        <v>5414</v>
      </c>
      <c r="BK554" s="208" t="s">
        <v>5415</v>
      </c>
      <c r="BL554" s="208" t="s">
        <v>5415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C1:BN543" xr:uid="{7E49630C-6B59-4F95-9694-DDD38A21BDD3}"/>
    </customSheetView>
    <customSheetView guid="{E9976D35-8E2B-4042-A7B2-D543B9A44019}" filter="1" showAutoFilter="1">
      <pageMargins left="0.511811024" right="0.511811024" top="0.78740157499999996" bottom="0.78740157499999996" header="0.31496062000000002" footer="0.31496062000000002"/>
      <autoFilter ref="C1:BS543" xr:uid="{3CEEE549-D4CE-41E5-8D19-6EE0AF880FC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7" t="s">
        <v>5416</v>
      </c>
      <c r="B1" s="645"/>
      <c r="C1" s="645"/>
      <c r="E1" s="497"/>
      <c r="F1" s="497"/>
      <c r="H1" s="657" t="s">
        <v>5417</v>
      </c>
      <c r="I1" s="645"/>
      <c r="K1" s="657" t="s">
        <v>5418</v>
      </c>
      <c r="L1" s="645"/>
      <c r="N1" s="657" t="s">
        <v>3793</v>
      </c>
      <c r="O1" s="645"/>
      <c r="P1" s="645"/>
    </row>
    <row r="2" spans="1:16">
      <c r="A2" s="498" t="s">
        <v>1</v>
      </c>
      <c r="B2" s="499" t="s">
        <v>0</v>
      </c>
      <c r="C2" s="499" t="s">
        <v>5419</v>
      </c>
      <c r="E2" s="500" t="s">
        <v>5420</v>
      </c>
      <c r="F2" s="501">
        <v>45587</v>
      </c>
      <c r="H2" s="498" t="s">
        <v>1</v>
      </c>
      <c r="I2" s="499" t="s">
        <v>5419</v>
      </c>
      <c r="K2" s="498" t="s">
        <v>1</v>
      </c>
      <c r="L2" s="499" t="s">
        <v>5419</v>
      </c>
      <c r="N2" s="498" t="s">
        <v>1</v>
      </c>
      <c r="O2" s="499" t="s">
        <v>0</v>
      </c>
      <c r="P2" s="499" t="s">
        <v>5419</v>
      </c>
    </row>
    <row r="3" spans="1:16" ht="14.25">
      <c r="A3" s="502" t="s">
        <v>1336</v>
      </c>
      <c r="B3" s="503" t="s">
        <v>5421</v>
      </c>
      <c r="C3" s="504">
        <v>15545630.08</v>
      </c>
      <c r="H3" s="398">
        <v>579904</v>
      </c>
      <c r="I3" s="505">
        <v>0</v>
      </c>
      <c r="K3" s="382">
        <v>11005560</v>
      </c>
      <c r="L3" s="505">
        <v>3251345.84</v>
      </c>
      <c r="N3" s="398">
        <v>9183025</v>
      </c>
      <c r="O3" s="398" t="s">
        <v>5422</v>
      </c>
      <c r="P3" s="505">
        <v>0</v>
      </c>
    </row>
    <row r="4" spans="1:16" ht="14.25">
      <c r="A4" s="502" t="s">
        <v>428</v>
      </c>
      <c r="B4" s="503" t="s">
        <v>5423</v>
      </c>
      <c r="C4" s="504">
        <v>8510229.25</v>
      </c>
      <c r="H4" s="398">
        <v>36881</v>
      </c>
      <c r="I4" s="505">
        <v>0</v>
      </c>
      <c r="K4" s="382">
        <v>10940590</v>
      </c>
      <c r="L4" s="505">
        <v>777458.97</v>
      </c>
      <c r="N4" s="398">
        <v>6852608</v>
      </c>
      <c r="O4" s="398" t="s">
        <v>5424</v>
      </c>
      <c r="P4" s="505">
        <v>0</v>
      </c>
    </row>
    <row r="5" spans="1:16" ht="14.25">
      <c r="A5" s="502" t="s">
        <v>408</v>
      </c>
      <c r="B5" s="503" t="s">
        <v>5425</v>
      </c>
      <c r="C5" s="504">
        <v>6454551.5</v>
      </c>
      <c r="H5" s="398">
        <v>34899</v>
      </c>
      <c r="I5" s="505">
        <v>0</v>
      </c>
      <c r="K5" s="382" t="s">
        <v>3586</v>
      </c>
      <c r="L5" s="505">
        <v>40645.730000000003</v>
      </c>
      <c r="N5" s="398">
        <v>6188251</v>
      </c>
      <c r="O5" s="398" t="s">
        <v>5426</v>
      </c>
      <c r="P5" s="505">
        <v>0</v>
      </c>
    </row>
    <row r="6" spans="1:16" ht="14.25">
      <c r="A6" s="502" t="s">
        <v>509</v>
      </c>
      <c r="B6" s="503" t="s">
        <v>5427</v>
      </c>
      <c r="C6" s="504">
        <v>4238035.29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5428</v>
      </c>
      <c r="P6" s="505">
        <v>0</v>
      </c>
    </row>
    <row r="7" spans="1:16" ht="14.25">
      <c r="A7" s="502" t="s">
        <v>853</v>
      </c>
      <c r="B7" s="503" t="s">
        <v>5429</v>
      </c>
      <c r="C7" s="504">
        <v>3949567.05</v>
      </c>
      <c r="H7" s="398">
        <v>442725</v>
      </c>
      <c r="I7" s="505">
        <v>55939.42</v>
      </c>
      <c r="K7" s="382" t="s">
        <v>3590</v>
      </c>
      <c r="L7" s="505">
        <v>9705746.2400000002</v>
      </c>
      <c r="N7" s="398">
        <v>4783402</v>
      </c>
      <c r="O7" s="398" t="s">
        <v>5430</v>
      </c>
      <c r="P7" s="505">
        <v>0</v>
      </c>
    </row>
    <row r="8" spans="1:16" ht="14.25">
      <c r="A8" s="502" t="s">
        <v>787</v>
      </c>
      <c r="B8" s="503" t="s">
        <v>5431</v>
      </c>
      <c r="C8" s="504">
        <v>3867094.46</v>
      </c>
      <c r="H8" s="398">
        <v>421731</v>
      </c>
      <c r="I8" s="505">
        <v>20543.82</v>
      </c>
      <c r="K8" s="382">
        <v>3844136</v>
      </c>
      <c r="L8" s="505">
        <v>54009.18</v>
      </c>
      <c r="N8" s="398">
        <v>226343</v>
      </c>
      <c r="O8" s="398" t="s">
        <v>5432</v>
      </c>
      <c r="P8" s="505">
        <v>0</v>
      </c>
    </row>
    <row r="9" spans="1:16" ht="14.25">
      <c r="A9" s="502" t="s">
        <v>899</v>
      </c>
      <c r="B9" s="503" t="s">
        <v>5433</v>
      </c>
      <c r="C9" s="504">
        <v>3579318.5</v>
      </c>
      <c r="H9" s="398">
        <v>376503</v>
      </c>
      <c r="I9" s="505">
        <v>377667.75</v>
      </c>
      <c r="K9" s="382">
        <v>10936630</v>
      </c>
      <c r="L9" s="505">
        <v>2133.69</v>
      </c>
      <c r="N9" s="398">
        <v>4841428</v>
      </c>
      <c r="O9" s="398" t="s">
        <v>5434</v>
      </c>
      <c r="P9" s="505">
        <v>0</v>
      </c>
    </row>
    <row r="10" spans="1:16" ht="14.25">
      <c r="A10" s="502" t="s">
        <v>1695</v>
      </c>
      <c r="B10" s="503" t="s">
        <v>5435</v>
      </c>
      <c r="C10" s="504">
        <v>3542001.55</v>
      </c>
      <c r="H10" s="398">
        <v>376732</v>
      </c>
      <c r="I10" s="505">
        <v>334766.64</v>
      </c>
      <c r="K10" s="382">
        <v>10944986</v>
      </c>
      <c r="L10" s="505">
        <v>0</v>
      </c>
      <c r="N10" s="398">
        <v>2096281</v>
      </c>
      <c r="O10" s="398" t="s">
        <v>5436</v>
      </c>
      <c r="P10" s="505">
        <v>268901.46999999997</v>
      </c>
    </row>
    <row r="11" spans="1:16" ht="14.25">
      <c r="A11" s="502" t="s">
        <v>2348</v>
      </c>
      <c r="B11" s="503" t="s">
        <v>5437</v>
      </c>
      <c r="C11" s="504">
        <v>3401884.36</v>
      </c>
      <c r="H11" s="398">
        <v>420111</v>
      </c>
      <c r="I11" s="505">
        <v>2143.8000000000002</v>
      </c>
      <c r="K11" s="382">
        <v>11071318</v>
      </c>
      <c r="L11" s="505">
        <v>357904.71</v>
      </c>
      <c r="N11" s="398">
        <v>4805165</v>
      </c>
      <c r="O11" s="398" t="s">
        <v>5438</v>
      </c>
      <c r="P11" s="505">
        <v>2582.0100000000002</v>
      </c>
    </row>
    <row r="12" spans="1:16" ht="14.25">
      <c r="A12" s="502" t="s">
        <v>512</v>
      </c>
      <c r="B12" s="503" t="s">
        <v>5439</v>
      </c>
      <c r="C12" s="504">
        <v>2970566.1</v>
      </c>
      <c r="H12" s="398">
        <v>47785</v>
      </c>
      <c r="I12" s="398">
        <v>0</v>
      </c>
      <c r="K12" s="382" t="s">
        <v>3595</v>
      </c>
      <c r="L12" s="505">
        <v>0</v>
      </c>
      <c r="N12" s="398">
        <v>7783008</v>
      </c>
      <c r="O12" s="398" t="s">
        <v>5440</v>
      </c>
      <c r="P12" s="505">
        <v>0</v>
      </c>
    </row>
    <row r="13" spans="1:16" ht="14.25">
      <c r="A13" s="502" t="s">
        <v>1578</v>
      </c>
      <c r="B13" s="503" t="s">
        <v>5441</v>
      </c>
      <c r="C13" s="504">
        <v>2920302.19</v>
      </c>
      <c r="H13" s="398">
        <v>49819</v>
      </c>
      <c r="I13" s="398">
        <v>0</v>
      </c>
      <c r="K13" s="382">
        <v>11026371</v>
      </c>
      <c r="L13" s="505">
        <v>2861745.01</v>
      </c>
      <c r="N13" s="398">
        <v>4831456</v>
      </c>
      <c r="O13" s="398" t="s">
        <v>5442</v>
      </c>
      <c r="P13" s="505">
        <v>0</v>
      </c>
    </row>
    <row r="14" spans="1:16" ht="14.25">
      <c r="A14" s="502" t="s">
        <v>1975</v>
      </c>
      <c r="B14" s="503" t="s">
        <v>5443</v>
      </c>
      <c r="C14" s="504">
        <v>2861249.5</v>
      </c>
      <c r="H14" s="398">
        <v>379151</v>
      </c>
      <c r="I14" s="505">
        <v>267477.24</v>
      </c>
      <c r="K14" s="382" t="s">
        <v>3598</v>
      </c>
      <c r="L14" s="505">
        <v>489325.93</v>
      </c>
      <c r="N14" s="398">
        <v>447631</v>
      </c>
      <c r="O14" s="398" t="s">
        <v>5444</v>
      </c>
      <c r="P14" s="505">
        <v>0</v>
      </c>
    </row>
    <row r="15" spans="1:16" ht="14.25">
      <c r="A15" s="502" t="s">
        <v>537</v>
      </c>
      <c r="B15" s="503" t="s">
        <v>5445</v>
      </c>
      <c r="C15" s="504">
        <v>2761047.47</v>
      </c>
      <c r="H15" s="398">
        <v>253852</v>
      </c>
      <c r="I15" s="398">
        <v>0</v>
      </c>
      <c r="K15" s="382" t="s">
        <v>3600</v>
      </c>
      <c r="L15" s="505">
        <v>60.9</v>
      </c>
      <c r="N15" s="398">
        <v>4358218</v>
      </c>
      <c r="O15" s="398" t="s">
        <v>5446</v>
      </c>
      <c r="P15" s="505">
        <v>0</v>
      </c>
    </row>
    <row r="16" spans="1:16" ht="14.25">
      <c r="A16" s="502" t="s">
        <v>880</v>
      </c>
      <c r="B16" s="503" t="s">
        <v>5447</v>
      </c>
      <c r="C16" s="504">
        <v>2434763.94</v>
      </c>
      <c r="H16" s="398">
        <v>34380</v>
      </c>
      <c r="I16" s="505">
        <v>0</v>
      </c>
      <c r="N16" s="398">
        <v>8023410</v>
      </c>
      <c r="O16" s="398" t="s">
        <v>5448</v>
      </c>
      <c r="P16" s="505">
        <v>0</v>
      </c>
    </row>
    <row r="17" spans="1:16" ht="14.25">
      <c r="A17" s="502" t="s">
        <v>1348</v>
      </c>
      <c r="B17" s="503" t="s">
        <v>5449</v>
      </c>
      <c r="C17" s="504">
        <v>2151560.4300000002</v>
      </c>
      <c r="H17" s="398">
        <v>578360</v>
      </c>
      <c r="I17" s="398">
        <v>0</v>
      </c>
      <c r="N17" s="398">
        <v>2720929</v>
      </c>
      <c r="O17" s="398" t="s">
        <v>5450</v>
      </c>
      <c r="P17" s="505">
        <v>0</v>
      </c>
    </row>
    <row r="18" spans="1:16" ht="14.25">
      <c r="A18" s="502" t="s">
        <v>2250</v>
      </c>
      <c r="B18" s="503" t="s">
        <v>5451</v>
      </c>
      <c r="C18" s="504">
        <v>2127671.73</v>
      </c>
      <c r="H18" s="398">
        <v>32319</v>
      </c>
      <c r="I18" s="505">
        <v>13105.93</v>
      </c>
      <c r="N18" s="398">
        <v>6889397</v>
      </c>
      <c r="O18" s="398" t="s">
        <v>5452</v>
      </c>
      <c r="P18" s="505">
        <v>0</v>
      </c>
    </row>
    <row r="19" spans="1:16" ht="14.25">
      <c r="A19" s="502" t="s">
        <v>1532</v>
      </c>
      <c r="B19" s="503" t="s">
        <v>5453</v>
      </c>
      <c r="C19" s="504">
        <v>2118206.62</v>
      </c>
      <c r="H19" s="398">
        <v>36944</v>
      </c>
      <c r="I19" s="505">
        <v>98369.01</v>
      </c>
      <c r="N19" s="398">
        <v>8524764</v>
      </c>
      <c r="O19" s="398" t="s">
        <v>5454</v>
      </c>
      <c r="P19" s="505">
        <v>0</v>
      </c>
    </row>
    <row r="20" spans="1:16" ht="14.25">
      <c r="A20" s="502" t="s">
        <v>415</v>
      </c>
      <c r="B20" s="503" t="s">
        <v>5455</v>
      </c>
      <c r="C20" s="504">
        <v>2003663.03</v>
      </c>
      <c r="H20" s="398">
        <v>446649</v>
      </c>
      <c r="I20" s="398">
        <v>7.19</v>
      </c>
      <c r="N20" s="398">
        <v>5648950</v>
      </c>
      <c r="O20" s="398" t="s">
        <v>5456</v>
      </c>
      <c r="P20" s="505">
        <v>0</v>
      </c>
    </row>
    <row r="21" spans="1:16" ht="15.75" customHeight="1">
      <c r="A21" s="502" t="s">
        <v>605</v>
      </c>
      <c r="B21" s="503" t="s">
        <v>5457</v>
      </c>
      <c r="C21" s="504">
        <v>1929323.47</v>
      </c>
      <c r="H21" s="398">
        <v>352574</v>
      </c>
      <c r="I21" s="398">
        <v>0</v>
      </c>
      <c r="N21" s="398">
        <v>4418396</v>
      </c>
      <c r="O21" s="398" t="s">
        <v>5458</v>
      </c>
      <c r="P21" s="505">
        <v>0</v>
      </c>
    </row>
    <row r="22" spans="1:16" ht="15.75" customHeight="1">
      <c r="A22" s="502" t="s">
        <v>1475</v>
      </c>
      <c r="B22" s="503" t="s">
        <v>5459</v>
      </c>
      <c r="C22" s="504">
        <v>1840298.22</v>
      </c>
      <c r="H22" s="398">
        <v>34467</v>
      </c>
      <c r="I22" s="398">
        <v>0</v>
      </c>
      <c r="N22" s="398">
        <v>8233833</v>
      </c>
      <c r="O22" s="398" t="s">
        <v>5450</v>
      </c>
      <c r="P22" s="505">
        <v>0</v>
      </c>
    </row>
    <row r="23" spans="1:16" ht="15.75" customHeight="1">
      <c r="A23" s="502" t="s">
        <v>2773</v>
      </c>
      <c r="B23" s="503" t="s">
        <v>5460</v>
      </c>
      <c r="C23" s="504">
        <v>1831331.85</v>
      </c>
      <c r="H23" s="398">
        <v>32262</v>
      </c>
      <c r="I23" s="398">
        <v>0</v>
      </c>
      <c r="N23" s="398">
        <v>4598320</v>
      </c>
      <c r="O23" s="398" t="s">
        <v>5461</v>
      </c>
      <c r="P23" s="505">
        <v>0</v>
      </c>
    </row>
    <row r="24" spans="1:16" ht="15.75" customHeight="1">
      <c r="A24" s="502" t="s">
        <v>2101</v>
      </c>
      <c r="B24" s="503" t="s">
        <v>5462</v>
      </c>
      <c r="C24" s="504">
        <v>1774743.53</v>
      </c>
      <c r="H24" s="398">
        <v>293395</v>
      </c>
      <c r="I24" s="398">
        <v>0</v>
      </c>
      <c r="N24" s="398">
        <v>58954</v>
      </c>
      <c r="O24" s="398" t="s">
        <v>5463</v>
      </c>
      <c r="P24" s="505">
        <v>159271.18</v>
      </c>
    </row>
    <row r="25" spans="1:16" ht="15.75" customHeight="1">
      <c r="A25" s="502" t="s">
        <v>2206</v>
      </c>
      <c r="B25" s="503" t="s">
        <v>5464</v>
      </c>
      <c r="C25" s="504">
        <v>1734523.35</v>
      </c>
      <c r="H25" s="398">
        <v>33002</v>
      </c>
      <c r="I25" s="505">
        <v>0</v>
      </c>
      <c r="N25" s="398">
        <v>6032020</v>
      </c>
      <c r="O25" s="398" t="s">
        <v>5465</v>
      </c>
      <c r="P25" s="505">
        <v>0</v>
      </c>
    </row>
    <row r="26" spans="1:16" ht="15.75" customHeight="1">
      <c r="A26" s="502" t="s">
        <v>2122</v>
      </c>
      <c r="B26" s="503" t="s">
        <v>5466</v>
      </c>
      <c r="C26" s="504">
        <v>1717228.99</v>
      </c>
      <c r="H26" s="398">
        <v>627408</v>
      </c>
      <c r="I26" s="398">
        <v>0</v>
      </c>
      <c r="N26" s="398">
        <v>3774100</v>
      </c>
      <c r="O26" s="398" t="s">
        <v>5467</v>
      </c>
      <c r="P26" s="505">
        <v>0</v>
      </c>
    </row>
    <row r="27" spans="1:16" ht="15.75" customHeight="1">
      <c r="A27" s="502" t="s">
        <v>1630</v>
      </c>
      <c r="B27" s="503" t="s">
        <v>5468</v>
      </c>
      <c r="C27" s="504">
        <v>1678864.19</v>
      </c>
      <c r="H27" s="398">
        <v>624508</v>
      </c>
      <c r="I27" s="398">
        <v>0</v>
      </c>
      <c r="N27" s="398">
        <v>4652696</v>
      </c>
      <c r="O27" s="398" t="s">
        <v>5469</v>
      </c>
      <c r="P27" s="505">
        <v>46779.89</v>
      </c>
    </row>
    <row r="28" spans="1:16" ht="15.75" customHeight="1">
      <c r="A28" s="502" t="s">
        <v>2104</v>
      </c>
      <c r="B28" s="503" t="s">
        <v>5462</v>
      </c>
      <c r="C28" s="504">
        <v>1674032.66</v>
      </c>
      <c r="H28" s="398">
        <v>270211</v>
      </c>
      <c r="I28" s="398">
        <v>395.14</v>
      </c>
      <c r="N28" s="398">
        <v>5661723</v>
      </c>
      <c r="O28" s="398" t="s">
        <v>5470</v>
      </c>
      <c r="P28" s="505">
        <v>0</v>
      </c>
    </row>
    <row r="29" spans="1:16" ht="15.75" customHeight="1">
      <c r="A29" s="502" t="s">
        <v>1208</v>
      </c>
      <c r="B29" s="503" t="s">
        <v>5471</v>
      </c>
      <c r="C29" s="504">
        <v>1664739.91</v>
      </c>
      <c r="H29" s="398">
        <v>451734</v>
      </c>
      <c r="I29" s="505">
        <v>0</v>
      </c>
      <c r="N29" s="398">
        <v>4988368</v>
      </c>
      <c r="O29" s="398" t="s">
        <v>5472</v>
      </c>
      <c r="P29" s="505">
        <v>88830.55</v>
      </c>
    </row>
    <row r="30" spans="1:16" ht="15.75" customHeight="1">
      <c r="A30" s="502" t="s">
        <v>2146</v>
      </c>
      <c r="B30" s="503" t="s">
        <v>5473</v>
      </c>
      <c r="C30" s="504">
        <v>1651342.81</v>
      </c>
      <c r="H30" s="398">
        <v>624134</v>
      </c>
      <c r="I30" s="398">
        <v>0</v>
      </c>
      <c r="N30" s="398">
        <v>4416642</v>
      </c>
      <c r="O30" s="398" t="s">
        <v>5474</v>
      </c>
      <c r="P30" s="505">
        <v>0</v>
      </c>
    </row>
    <row r="31" spans="1:16" ht="15.75" customHeight="1">
      <c r="A31" s="502" t="s">
        <v>352</v>
      </c>
      <c r="B31" s="503" t="s">
        <v>5475</v>
      </c>
      <c r="C31" s="504">
        <v>1644466.96</v>
      </c>
      <c r="H31" s="398">
        <v>35841</v>
      </c>
      <c r="I31" s="398">
        <v>0</v>
      </c>
      <c r="N31" s="398">
        <v>4903270</v>
      </c>
      <c r="O31" s="398" t="s">
        <v>5476</v>
      </c>
      <c r="P31" s="505">
        <v>0</v>
      </c>
    </row>
    <row r="32" spans="1:16" ht="15.75" customHeight="1">
      <c r="A32" s="502" t="s">
        <v>1999</v>
      </c>
      <c r="B32" s="503" t="s">
        <v>5443</v>
      </c>
      <c r="C32" s="504">
        <v>1644096.51</v>
      </c>
      <c r="H32" s="398">
        <v>36284</v>
      </c>
      <c r="I32" s="398">
        <v>0</v>
      </c>
      <c r="N32" s="398">
        <v>8155858</v>
      </c>
      <c r="O32" s="398" t="s">
        <v>5477</v>
      </c>
      <c r="P32" s="505">
        <v>0</v>
      </c>
    </row>
    <row r="33" spans="1:16" ht="15.75" customHeight="1">
      <c r="A33" s="502" t="s">
        <v>2190</v>
      </c>
      <c r="B33" s="503" t="s">
        <v>5478</v>
      </c>
      <c r="C33" s="504">
        <v>1614136.47</v>
      </c>
      <c r="H33" s="398">
        <v>46477</v>
      </c>
      <c r="I33" s="398">
        <v>0</v>
      </c>
      <c r="N33" s="398">
        <v>4459682</v>
      </c>
      <c r="O33" s="398" t="s">
        <v>5479</v>
      </c>
      <c r="P33" s="505">
        <v>239.42</v>
      </c>
    </row>
    <row r="34" spans="1:16" ht="15.75" customHeight="1">
      <c r="A34" s="502" t="s">
        <v>2248</v>
      </c>
      <c r="B34" s="503" t="s">
        <v>5451</v>
      </c>
      <c r="C34" s="504">
        <v>1555362.09</v>
      </c>
      <c r="H34" s="398">
        <v>39943</v>
      </c>
      <c r="I34" s="398">
        <v>0</v>
      </c>
      <c r="N34" s="398">
        <v>7518857</v>
      </c>
      <c r="O34" s="398" t="s">
        <v>5480</v>
      </c>
      <c r="P34" s="505">
        <v>0</v>
      </c>
    </row>
    <row r="35" spans="1:16" ht="15.75" customHeight="1">
      <c r="A35" s="502" t="s">
        <v>2657</v>
      </c>
      <c r="B35" s="503" t="s">
        <v>5481</v>
      </c>
      <c r="C35" s="504">
        <v>1539873.6</v>
      </c>
      <c r="H35" s="398">
        <v>32049</v>
      </c>
      <c r="I35" s="398">
        <v>0</v>
      </c>
      <c r="N35" s="398">
        <v>2889018</v>
      </c>
      <c r="O35" s="398" t="s">
        <v>5482</v>
      </c>
      <c r="P35" s="505">
        <v>21551.3</v>
      </c>
    </row>
    <row r="36" spans="1:16" ht="15.75" customHeight="1">
      <c r="A36" s="502" t="s">
        <v>1920</v>
      </c>
      <c r="B36" s="503" t="s">
        <v>5483</v>
      </c>
      <c r="C36" s="504">
        <v>1500851.48</v>
      </c>
      <c r="H36" s="398">
        <v>35069</v>
      </c>
      <c r="I36" s="398">
        <v>0</v>
      </c>
      <c r="N36" s="398">
        <v>4488691</v>
      </c>
      <c r="O36" s="398" t="s">
        <v>5484</v>
      </c>
      <c r="P36" s="505">
        <v>0</v>
      </c>
    </row>
    <row r="37" spans="1:16" ht="15.75" customHeight="1">
      <c r="A37" s="502" t="s">
        <v>328</v>
      </c>
      <c r="B37" s="503" t="s">
        <v>5485</v>
      </c>
      <c r="C37" s="504">
        <v>1484584.75</v>
      </c>
      <c r="H37" s="398">
        <v>32441</v>
      </c>
      <c r="I37" s="398">
        <v>0</v>
      </c>
      <c r="N37" s="398">
        <v>4793812</v>
      </c>
      <c r="O37" s="398" t="s">
        <v>5430</v>
      </c>
      <c r="P37" s="505">
        <v>0</v>
      </c>
    </row>
    <row r="38" spans="1:16" ht="15.75" customHeight="1">
      <c r="A38" s="502" t="s">
        <v>2209</v>
      </c>
      <c r="B38" s="503" t="s">
        <v>5464</v>
      </c>
      <c r="C38" s="504">
        <v>1448801.31</v>
      </c>
      <c r="H38" s="398">
        <v>37718</v>
      </c>
      <c r="I38" s="398">
        <v>0</v>
      </c>
      <c r="N38" s="398">
        <v>7782720</v>
      </c>
      <c r="O38" s="398" t="s">
        <v>5486</v>
      </c>
      <c r="P38" s="505">
        <v>-21.91</v>
      </c>
    </row>
    <row r="39" spans="1:16" ht="15.75" customHeight="1">
      <c r="A39" s="502" t="s">
        <v>1332</v>
      </c>
      <c r="B39" s="503" t="s">
        <v>5487</v>
      </c>
      <c r="C39" s="504">
        <v>1419416.64</v>
      </c>
      <c r="H39" s="398">
        <v>33153</v>
      </c>
      <c r="I39" s="505">
        <v>0</v>
      </c>
      <c r="N39" s="398">
        <v>8598875</v>
      </c>
      <c r="O39" s="398" t="s">
        <v>5454</v>
      </c>
      <c r="P39" s="505">
        <v>0</v>
      </c>
    </row>
    <row r="40" spans="1:16" ht="15.75" customHeight="1">
      <c r="A40" s="502" t="s">
        <v>1110</v>
      </c>
      <c r="B40" s="503" t="s">
        <v>5488</v>
      </c>
      <c r="C40" s="504">
        <v>1362031.46</v>
      </c>
      <c r="H40" s="398">
        <v>474439</v>
      </c>
      <c r="I40" s="505">
        <v>0</v>
      </c>
      <c r="N40" s="398">
        <v>2289902</v>
      </c>
      <c r="O40" s="398" t="s">
        <v>5489</v>
      </c>
      <c r="P40" s="505">
        <v>0</v>
      </c>
    </row>
    <row r="41" spans="1:16" ht="15.75" customHeight="1">
      <c r="A41" s="502" t="s">
        <v>1688</v>
      </c>
      <c r="B41" s="503" t="s">
        <v>5490</v>
      </c>
      <c r="C41" s="504">
        <v>1357447.47</v>
      </c>
      <c r="H41" s="398">
        <v>424833</v>
      </c>
      <c r="I41" s="505">
        <v>175798.92</v>
      </c>
      <c r="N41" s="398">
        <v>4398585</v>
      </c>
      <c r="O41" s="398" t="s">
        <v>5491</v>
      </c>
      <c r="P41" s="505">
        <v>0</v>
      </c>
    </row>
    <row r="42" spans="1:16" ht="15.75" customHeight="1">
      <c r="A42" s="502" t="s">
        <v>2129</v>
      </c>
      <c r="B42" s="503" t="s">
        <v>5492</v>
      </c>
      <c r="C42" s="504">
        <v>1349010.1</v>
      </c>
      <c r="H42" s="398">
        <v>253798</v>
      </c>
      <c r="I42" s="505">
        <v>0</v>
      </c>
      <c r="N42" s="398">
        <v>4637696</v>
      </c>
      <c r="O42" s="398" t="s">
        <v>5493</v>
      </c>
      <c r="P42" s="505">
        <v>0</v>
      </c>
    </row>
    <row r="43" spans="1:16" ht="15.75" customHeight="1">
      <c r="A43" s="502" t="s">
        <v>1960</v>
      </c>
      <c r="B43" s="503" t="s">
        <v>5443</v>
      </c>
      <c r="C43" s="504">
        <v>1343733.39</v>
      </c>
      <c r="H43" s="398">
        <v>32208</v>
      </c>
      <c r="I43" s="505">
        <v>0</v>
      </c>
      <c r="N43" s="398">
        <v>6320705</v>
      </c>
      <c r="O43" s="398" t="s">
        <v>5494</v>
      </c>
      <c r="P43" s="505">
        <v>0.15</v>
      </c>
    </row>
    <row r="44" spans="1:16" ht="15.75" customHeight="1">
      <c r="A44" s="502" t="s">
        <v>1735</v>
      </c>
      <c r="B44" s="503" t="s">
        <v>5495</v>
      </c>
      <c r="C44" s="504">
        <v>1320254.05</v>
      </c>
      <c r="H44" s="398">
        <v>48783</v>
      </c>
      <c r="I44" s="398">
        <v>0</v>
      </c>
      <c r="N44" s="398">
        <v>5682953</v>
      </c>
      <c r="O44" s="398" t="s">
        <v>5496</v>
      </c>
      <c r="P44" s="505">
        <v>54921.86</v>
      </c>
    </row>
    <row r="45" spans="1:16" ht="15.75" customHeight="1">
      <c r="A45" s="502" t="s">
        <v>2489</v>
      </c>
      <c r="B45" s="503" t="s">
        <v>5497</v>
      </c>
      <c r="C45" s="504">
        <v>1309783.95</v>
      </c>
      <c r="H45" s="398">
        <v>441042</v>
      </c>
      <c r="I45" s="505">
        <v>0</v>
      </c>
      <c r="N45" s="398">
        <v>2214585</v>
      </c>
      <c r="O45" s="398" t="s">
        <v>5498</v>
      </c>
      <c r="P45" s="505">
        <v>0</v>
      </c>
    </row>
    <row r="46" spans="1:16" ht="15.75" customHeight="1">
      <c r="A46" s="502" t="s">
        <v>2336</v>
      </c>
      <c r="B46" s="503" t="s">
        <v>5499</v>
      </c>
      <c r="C46" s="504">
        <v>1278159.43</v>
      </c>
      <c r="H46" s="398">
        <v>455761</v>
      </c>
      <c r="I46" s="398">
        <v>0</v>
      </c>
      <c r="N46" s="398">
        <v>2660830</v>
      </c>
      <c r="O46" s="398" t="s">
        <v>5500</v>
      </c>
      <c r="P46" s="505">
        <v>0</v>
      </c>
    </row>
    <row r="47" spans="1:16" ht="15.75" customHeight="1">
      <c r="A47" s="502" t="s">
        <v>1268</v>
      </c>
      <c r="B47" s="503" t="s">
        <v>5501</v>
      </c>
      <c r="C47" s="504">
        <v>1245420.81</v>
      </c>
      <c r="H47" s="398">
        <v>362237</v>
      </c>
      <c r="I47" s="398">
        <v>0</v>
      </c>
      <c r="N47" s="398">
        <v>7854925</v>
      </c>
      <c r="O47" s="398" t="s">
        <v>5502</v>
      </c>
      <c r="P47" s="505">
        <v>0</v>
      </c>
    </row>
    <row r="48" spans="1:16" ht="15.75" customHeight="1">
      <c r="A48" s="502" t="s">
        <v>1466</v>
      </c>
      <c r="B48" s="503" t="s">
        <v>5503</v>
      </c>
      <c r="C48" s="504">
        <v>1234276.1299999999</v>
      </c>
      <c r="H48" s="398">
        <v>36371</v>
      </c>
      <c r="I48" s="398">
        <v>0</v>
      </c>
      <c r="N48" s="398">
        <v>8118585</v>
      </c>
      <c r="O48" s="398" t="s">
        <v>5504</v>
      </c>
      <c r="P48" s="505">
        <v>0</v>
      </c>
    </row>
    <row r="49" spans="1:16" ht="15.75" customHeight="1">
      <c r="A49" s="502" t="s">
        <v>2106</v>
      </c>
      <c r="B49" s="503" t="s">
        <v>5505</v>
      </c>
      <c r="C49" s="504">
        <v>1216741.07</v>
      </c>
      <c r="H49" s="398">
        <v>560488</v>
      </c>
      <c r="I49" s="398">
        <v>0</v>
      </c>
      <c r="N49" s="398">
        <v>4680045</v>
      </c>
      <c r="O49" s="398" t="s">
        <v>5506</v>
      </c>
      <c r="P49" s="505">
        <v>0</v>
      </c>
    </row>
    <row r="50" spans="1:16" ht="15.75" customHeight="1">
      <c r="A50" s="502" t="s">
        <v>2119</v>
      </c>
      <c r="B50" s="503" t="s">
        <v>5507</v>
      </c>
      <c r="C50" s="504">
        <v>1215788.95</v>
      </c>
      <c r="H50" s="398">
        <v>266130</v>
      </c>
      <c r="I50" s="505">
        <v>0</v>
      </c>
      <c r="N50" s="398">
        <v>4608802</v>
      </c>
      <c r="O50" s="398" t="s">
        <v>5508</v>
      </c>
      <c r="P50" s="505">
        <v>83360.460000000006</v>
      </c>
    </row>
    <row r="51" spans="1:16" ht="15.75" customHeight="1">
      <c r="A51" s="502" t="s">
        <v>1990</v>
      </c>
      <c r="B51" s="503" t="s">
        <v>5443</v>
      </c>
      <c r="C51" s="504">
        <v>1215024</v>
      </c>
      <c r="H51" s="398">
        <v>435801</v>
      </c>
      <c r="I51" s="505">
        <v>242871.34</v>
      </c>
      <c r="N51" s="398">
        <v>4559307</v>
      </c>
      <c r="O51" s="398" t="s">
        <v>5509</v>
      </c>
      <c r="P51" s="505">
        <v>0</v>
      </c>
    </row>
    <row r="52" spans="1:16" ht="15.75" customHeight="1">
      <c r="A52" s="502" t="s">
        <v>1873</v>
      </c>
      <c r="B52" s="503" t="s">
        <v>5510</v>
      </c>
      <c r="C52" s="504">
        <v>1173606.8899999999</v>
      </c>
      <c r="H52" s="398">
        <v>363494</v>
      </c>
      <c r="I52" s="398">
        <v>0</v>
      </c>
      <c r="N52" s="398">
        <v>6486558</v>
      </c>
      <c r="O52" s="398" t="s">
        <v>5511</v>
      </c>
      <c r="P52" s="505">
        <v>150228.25</v>
      </c>
    </row>
    <row r="53" spans="1:16" ht="15.75" customHeight="1">
      <c r="A53" s="502" t="s">
        <v>719</v>
      </c>
      <c r="B53" s="503" t="s">
        <v>5512</v>
      </c>
      <c r="C53" s="504">
        <v>1122332.72</v>
      </c>
      <c r="H53" s="398">
        <v>79850</v>
      </c>
      <c r="I53" s="398">
        <v>0</v>
      </c>
      <c r="N53" s="398">
        <v>6480340</v>
      </c>
      <c r="O53" s="398" t="s">
        <v>5513</v>
      </c>
      <c r="P53" s="505">
        <v>0</v>
      </c>
    </row>
    <row r="54" spans="1:16" ht="15.75" customHeight="1">
      <c r="A54" s="502" t="s">
        <v>822</v>
      </c>
      <c r="B54" s="503" t="s">
        <v>5514</v>
      </c>
      <c r="C54" s="504">
        <v>1101877.6399999999</v>
      </c>
      <c r="H54" s="398">
        <v>449049</v>
      </c>
      <c r="I54" s="398">
        <v>0</v>
      </c>
      <c r="N54" s="398">
        <v>2551563</v>
      </c>
      <c r="O54" s="398" t="s">
        <v>5515</v>
      </c>
      <c r="P54" s="505">
        <v>50033.56</v>
      </c>
    </row>
    <row r="55" spans="1:16" ht="15.75" customHeight="1">
      <c r="A55" s="502" t="s">
        <v>2310</v>
      </c>
      <c r="B55" s="503" t="s">
        <v>5516</v>
      </c>
      <c r="C55" s="504">
        <v>1095085.44</v>
      </c>
      <c r="H55" s="398">
        <v>338439</v>
      </c>
      <c r="I55" s="398">
        <v>0</v>
      </c>
      <c r="N55" s="398">
        <v>7046512</v>
      </c>
      <c r="O55" s="398" t="s">
        <v>5517</v>
      </c>
      <c r="P55" s="505">
        <v>0</v>
      </c>
    </row>
    <row r="56" spans="1:16" ht="15.75" customHeight="1">
      <c r="A56" s="502" t="s">
        <v>1798</v>
      </c>
      <c r="B56" s="503" t="s">
        <v>5518</v>
      </c>
      <c r="C56" s="504">
        <v>1080741.5900000001</v>
      </c>
      <c r="H56" s="398">
        <v>36791</v>
      </c>
      <c r="I56" s="398">
        <v>0</v>
      </c>
      <c r="N56" s="398">
        <v>8742121</v>
      </c>
      <c r="O56" s="398" t="s">
        <v>5519</v>
      </c>
      <c r="P56" s="505">
        <v>0</v>
      </c>
    </row>
    <row r="57" spans="1:16" ht="15.75" customHeight="1">
      <c r="A57" s="502" t="s">
        <v>2196</v>
      </c>
      <c r="B57" s="503" t="s">
        <v>5520</v>
      </c>
      <c r="C57" s="504">
        <v>1077947.6599999999</v>
      </c>
      <c r="H57" s="398">
        <v>32374</v>
      </c>
      <c r="I57" s="398">
        <v>0</v>
      </c>
      <c r="N57" s="398">
        <v>4416789</v>
      </c>
      <c r="O57" s="398" t="s">
        <v>5521</v>
      </c>
      <c r="P57" s="505">
        <v>0</v>
      </c>
    </row>
    <row r="58" spans="1:16" ht="15.75" customHeight="1">
      <c r="A58" s="502" t="s">
        <v>2408</v>
      </c>
      <c r="B58" s="503" t="s">
        <v>5522</v>
      </c>
      <c r="C58" s="504">
        <v>1060211.99</v>
      </c>
      <c r="H58" s="398">
        <v>362767</v>
      </c>
      <c r="I58" s="505">
        <v>0</v>
      </c>
      <c r="N58" s="398">
        <v>8685427</v>
      </c>
      <c r="O58" s="398" t="s">
        <v>5523</v>
      </c>
      <c r="P58" s="505">
        <v>0</v>
      </c>
    </row>
    <row r="59" spans="1:16" ht="15.75" customHeight="1">
      <c r="A59" s="502" t="s">
        <v>906</v>
      </c>
      <c r="B59" s="503" t="s">
        <v>5524</v>
      </c>
      <c r="C59" s="504">
        <v>1059126.06</v>
      </c>
      <c r="H59" s="398">
        <v>38407</v>
      </c>
      <c r="I59" s="505">
        <v>0</v>
      </c>
      <c r="N59" s="398">
        <v>7667659</v>
      </c>
      <c r="O59" s="398" t="s">
        <v>5525</v>
      </c>
      <c r="P59" s="505">
        <v>22819.97</v>
      </c>
    </row>
    <row r="60" spans="1:16" ht="15.75" customHeight="1">
      <c r="A60" s="502" t="s">
        <v>2834</v>
      </c>
      <c r="B60" s="503" t="s">
        <v>5526</v>
      </c>
      <c r="C60" s="504">
        <v>1049276.52</v>
      </c>
      <c r="H60" s="398">
        <v>446581</v>
      </c>
      <c r="I60" s="505">
        <v>966611.21</v>
      </c>
      <c r="N60" s="398">
        <v>4634086</v>
      </c>
      <c r="O60" s="398" t="s">
        <v>5527</v>
      </c>
      <c r="P60" s="505">
        <v>0</v>
      </c>
    </row>
    <row r="61" spans="1:16" ht="15.75" customHeight="1">
      <c r="A61" s="502" t="s">
        <v>702</v>
      </c>
      <c r="B61" s="503" t="s">
        <v>5528</v>
      </c>
      <c r="C61" s="504">
        <v>1042683.51</v>
      </c>
      <c r="H61" s="398">
        <v>295437</v>
      </c>
      <c r="I61" s="398">
        <v>0</v>
      </c>
      <c r="N61" s="398">
        <v>3081966</v>
      </c>
      <c r="O61" s="398" t="s">
        <v>5529</v>
      </c>
      <c r="P61" s="505">
        <v>0</v>
      </c>
    </row>
    <row r="62" spans="1:16" ht="15.75" customHeight="1">
      <c r="A62" s="502" t="s">
        <v>2326</v>
      </c>
      <c r="B62" s="503" t="s">
        <v>5530</v>
      </c>
      <c r="C62" s="504">
        <v>1037380.72</v>
      </c>
      <c r="H62" s="398">
        <v>254180</v>
      </c>
      <c r="I62" s="505">
        <v>186105.34</v>
      </c>
      <c r="N62" s="398">
        <v>2699859</v>
      </c>
      <c r="O62" s="398" t="s">
        <v>5531</v>
      </c>
      <c r="P62" s="505">
        <v>0</v>
      </c>
    </row>
    <row r="63" spans="1:16" ht="15.75" customHeight="1">
      <c r="A63" s="502" t="s">
        <v>162</v>
      </c>
      <c r="B63" s="503" t="s">
        <v>5532</v>
      </c>
      <c r="C63" s="504">
        <v>1020458.23</v>
      </c>
      <c r="H63" s="398">
        <v>578866</v>
      </c>
      <c r="I63" s="505">
        <v>295450.61</v>
      </c>
      <c r="N63" s="398">
        <v>8588911</v>
      </c>
      <c r="O63" s="398" t="s">
        <v>5533</v>
      </c>
      <c r="P63" s="505">
        <v>0</v>
      </c>
    </row>
    <row r="64" spans="1:16" ht="15.75" customHeight="1">
      <c r="A64" s="502" t="s">
        <v>491</v>
      </c>
      <c r="B64" s="503" t="s">
        <v>5534</v>
      </c>
      <c r="C64" s="504">
        <v>1019186.53</v>
      </c>
      <c r="H64" s="398">
        <v>579753</v>
      </c>
      <c r="I64" s="505">
        <v>210411.41</v>
      </c>
      <c r="N64" s="398">
        <v>6029791</v>
      </c>
      <c r="O64" s="398" t="s">
        <v>5535</v>
      </c>
      <c r="P64" s="505">
        <v>0</v>
      </c>
    </row>
    <row r="65" spans="1:16" ht="15.75" customHeight="1">
      <c r="A65" s="502" t="s">
        <v>1050</v>
      </c>
      <c r="B65" s="503" t="s">
        <v>5536</v>
      </c>
      <c r="C65" s="504">
        <v>1002482.45</v>
      </c>
      <c r="H65" s="398">
        <v>368767</v>
      </c>
      <c r="I65" s="505">
        <v>102012.73</v>
      </c>
      <c r="N65" s="398">
        <v>7032839</v>
      </c>
      <c r="O65" s="398" t="s">
        <v>5537</v>
      </c>
      <c r="P65" s="505">
        <v>0</v>
      </c>
    </row>
    <row r="66" spans="1:16" ht="15.75" customHeight="1">
      <c r="A66" s="502" t="s">
        <v>2158</v>
      </c>
      <c r="B66" s="503" t="s">
        <v>5538</v>
      </c>
      <c r="C66" s="504">
        <v>982507.55</v>
      </c>
      <c r="H66" s="398">
        <v>33434</v>
      </c>
      <c r="I66" s="505">
        <v>186855.28</v>
      </c>
      <c r="N66" s="398">
        <v>4945025</v>
      </c>
      <c r="O66" s="398" t="s">
        <v>5539</v>
      </c>
      <c r="P66" s="505">
        <v>0</v>
      </c>
    </row>
    <row r="67" spans="1:16" ht="15.75" customHeight="1">
      <c r="A67" s="502" t="s">
        <v>2800</v>
      </c>
      <c r="B67" s="503" t="s">
        <v>5540</v>
      </c>
      <c r="C67" s="504">
        <v>982435.4</v>
      </c>
      <c r="H67" s="398">
        <v>478599</v>
      </c>
      <c r="I67" s="505">
        <v>0</v>
      </c>
      <c r="N67" s="398">
        <v>4750693</v>
      </c>
      <c r="O67" s="398" t="s">
        <v>5541</v>
      </c>
      <c r="P67" s="505">
        <v>0</v>
      </c>
    </row>
    <row r="68" spans="1:16" ht="15.75" customHeight="1">
      <c r="A68" s="502" t="s">
        <v>2200</v>
      </c>
      <c r="B68" s="503" t="s">
        <v>5542</v>
      </c>
      <c r="C68" s="504">
        <v>965551.41</v>
      </c>
      <c r="H68" s="398">
        <v>464575</v>
      </c>
      <c r="I68" s="505">
        <v>0</v>
      </c>
      <c r="N68" s="398">
        <v>4571776</v>
      </c>
      <c r="O68" s="398" t="s">
        <v>5543</v>
      </c>
      <c r="P68" s="505">
        <v>0</v>
      </c>
    </row>
    <row r="69" spans="1:16" ht="15.75" customHeight="1">
      <c r="A69" s="502" t="s">
        <v>1625</v>
      </c>
      <c r="B69" s="503" t="s">
        <v>5544</v>
      </c>
      <c r="C69" s="504">
        <v>957185.9</v>
      </c>
      <c r="H69" s="398">
        <v>82859</v>
      </c>
      <c r="I69" s="398">
        <v>33.26</v>
      </c>
      <c r="N69" s="398">
        <v>4425564</v>
      </c>
      <c r="O69" s="398" t="s">
        <v>5545</v>
      </c>
      <c r="P69" s="505">
        <v>0</v>
      </c>
    </row>
    <row r="70" spans="1:16" ht="15.75" customHeight="1">
      <c r="A70" s="502" t="s">
        <v>159</v>
      </c>
      <c r="B70" s="503" t="s">
        <v>5546</v>
      </c>
      <c r="C70" s="504">
        <v>939848.48</v>
      </c>
      <c r="H70" s="398">
        <v>439818</v>
      </c>
      <c r="I70" s="398">
        <v>0</v>
      </c>
      <c r="N70" s="398">
        <v>515215</v>
      </c>
      <c r="O70" s="398" t="s">
        <v>5547</v>
      </c>
      <c r="P70" s="505">
        <v>0</v>
      </c>
    </row>
    <row r="71" spans="1:16" ht="15.75" customHeight="1">
      <c r="A71" s="502" t="s">
        <v>280</v>
      </c>
      <c r="B71" s="503" t="s">
        <v>5485</v>
      </c>
      <c r="C71" s="504">
        <v>917075.13</v>
      </c>
      <c r="H71" s="398">
        <v>463648</v>
      </c>
      <c r="I71" s="398">
        <v>0</v>
      </c>
      <c r="N71" s="398">
        <v>4307232</v>
      </c>
      <c r="O71" s="398" t="s">
        <v>5548</v>
      </c>
      <c r="P71" s="505">
        <v>0</v>
      </c>
    </row>
    <row r="72" spans="1:16" ht="15.75" customHeight="1">
      <c r="A72" s="502" t="s">
        <v>1968</v>
      </c>
      <c r="B72" s="503" t="s">
        <v>5443</v>
      </c>
      <c r="C72" s="504">
        <v>912527.3</v>
      </c>
      <c r="H72" s="398">
        <v>31956</v>
      </c>
      <c r="I72" s="505">
        <v>0</v>
      </c>
      <c r="N72" s="398">
        <v>417444</v>
      </c>
      <c r="O72" s="398" t="s">
        <v>5549</v>
      </c>
      <c r="P72" s="505">
        <v>0</v>
      </c>
    </row>
    <row r="73" spans="1:16" ht="15.75" customHeight="1">
      <c r="A73" s="502" t="s">
        <v>341</v>
      </c>
      <c r="B73" s="503" t="s">
        <v>5485</v>
      </c>
      <c r="C73" s="504">
        <v>873879.98</v>
      </c>
      <c r="H73" s="398">
        <v>362768</v>
      </c>
      <c r="I73" s="505">
        <v>0</v>
      </c>
      <c r="N73" s="398">
        <v>4548330</v>
      </c>
      <c r="O73" s="398" t="s">
        <v>5550</v>
      </c>
      <c r="P73" s="505">
        <v>0</v>
      </c>
    </row>
    <row r="74" spans="1:16" ht="15.75" customHeight="1">
      <c r="A74" s="502" t="s">
        <v>1145</v>
      </c>
      <c r="B74" s="503" t="s">
        <v>5551</v>
      </c>
      <c r="C74" s="504">
        <v>869858.44</v>
      </c>
      <c r="H74" s="398">
        <v>32131</v>
      </c>
      <c r="I74" s="398">
        <v>0</v>
      </c>
      <c r="N74" s="398">
        <v>4847953</v>
      </c>
      <c r="O74" s="398" t="s">
        <v>5552</v>
      </c>
      <c r="P74" s="505">
        <v>0</v>
      </c>
    </row>
    <row r="75" spans="1:16" ht="15.75" customHeight="1">
      <c r="A75" s="502" t="s">
        <v>1804</v>
      </c>
      <c r="B75" s="503" t="s">
        <v>5518</v>
      </c>
      <c r="C75" s="504">
        <v>860086.88</v>
      </c>
      <c r="H75" s="398">
        <v>476148</v>
      </c>
      <c r="I75" s="505">
        <v>0</v>
      </c>
      <c r="N75" s="398">
        <v>4680314</v>
      </c>
      <c r="O75" s="398" t="s">
        <v>5553</v>
      </c>
      <c r="P75" s="505">
        <v>0</v>
      </c>
    </row>
    <row r="76" spans="1:16" ht="15.75" customHeight="1">
      <c r="A76" s="502" t="s">
        <v>1309</v>
      </c>
      <c r="B76" s="503" t="s">
        <v>5554</v>
      </c>
      <c r="C76" s="504">
        <v>855659.14</v>
      </c>
      <c r="H76" s="398">
        <v>433634</v>
      </c>
      <c r="I76" s="505">
        <v>0</v>
      </c>
      <c r="N76" s="398">
        <v>5900668</v>
      </c>
      <c r="O76" s="398" t="s">
        <v>5555</v>
      </c>
      <c r="P76" s="505">
        <v>0</v>
      </c>
    </row>
    <row r="77" spans="1:16" ht="15.75" customHeight="1">
      <c r="A77" s="502" t="s">
        <v>784</v>
      </c>
      <c r="B77" s="503" t="s">
        <v>5431</v>
      </c>
      <c r="C77" s="504">
        <v>855301.1</v>
      </c>
      <c r="H77" s="398">
        <v>376904</v>
      </c>
      <c r="I77" s="505">
        <v>159174.85999999999</v>
      </c>
      <c r="N77" s="398">
        <v>4859015</v>
      </c>
      <c r="O77" s="398" t="s">
        <v>5556</v>
      </c>
      <c r="P77" s="505">
        <v>0</v>
      </c>
    </row>
    <row r="78" spans="1:16" ht="15.75" customHeight="1">
      <c r="A78" s="502" t="s">
        <v>1329</v>
      </c>
      <c r="B78" s="503" t="s">
        <v>5557</v>
      </c>
      <c r="C78" s="504">
        <v>854762.33</v>
      </c>
      <c r="H78" s="398">
        <v>379302</v>
      </c>
      <c r="I78" s="398">
        <v>0</v>
      </c>
      <c r="N78" s="398">
        <v>4085020</v>
      </c>
      <c r="O78" s="398" t="s">
        <v>5558</v>
      </c>
      <c r="P78" s="505">
        <v>3479.5</v>
      </c>
    </row>
    <row r="79" spans="1:16" ht="15.75" customHeight="1">
      <c r="A79" s="502" t="s">
        <v>1339</v>
      </c>
      <c r="B79" s="503" t="s">
        <v>5421</v>
      </c>
      <c r="C79" s="504">
        <v>853556.29</v>
      </c>
      <c r="H79" s="398">
        <v>33712</v>
      </c>
      <c r="I79" s="505">
        <v>1720226.64</v>
      </c>
      <c r="N79" s="398">
        <v>4442405</v>
      </c>
      <c r="O79" s="398" t="s">
        <v>5559</v>
      </c>
      <c r="P79" s="505">
        <v>0.15</v>
      </c>
    </row>
    <row r="80" spans="1:16" ht="15.75" customHeight="1">
      <c r="A80" s="502" t="s">
        <v>734</v>
      </c>
      <c r="B80" s="503" t="s">
        <v>5560</v>
      </c>
      <c r="C80" s="504">
        <v>851339.95</v>
      </c>
      <c r="H80" s="398">
        <v>320105</v>
      </c>
      <c r="I80" s="398">
        <v>0</v>
      </c>
      <c r="N80" s="398">
        <v>4458091</v>
      </c>
      <c r="O80" s="398" t="s">
        <v>5561</v>
      </c>
      <c r="P80" s="505">
        <v>0</v>
      </c>
    </row>
    <row r="81" spans="1:16" ht="15.75" customHeight="1">
      <c r="A81" s="502" t="s">
        <v>2524</v>
      </c>
      <c r="B81" s="503" t="s">
        <v>5562</v>
      </c>
      <c r="C81" s="504">
        <v>841762.84</v>
      </c>
      <c r="H81" s="398">
        <v>436161</v>
      </c>
      <c r="I81" s="505">
        <v>0</v>
      </c>
      <c r="N81" s="398">
        <v>5947531</v>
      </c>
      <c r="O81" s="398" t="s">
        <v>5563</v>
      </c>
      <c r="P81" s="505">
        <v>0</v>
      </c>
    </row>
    <row r="82" spans="1:16" ht="15.75" customHeight="1">
      <c r="A82" s="502" t="s">
        <v>1494</v>
      </c>
      <c r="B82" s="503" t="s">
        <v>5459</v>
      </c>
      <c r="C82" s="504">
        <v>839702.07</v>
      </c>
      <c r="H82" s="398">
        <v>47285</v>
      </c>
      <c r="I82" s="398">
        <v>68.459999999999994</v>
      </c>
      <c r="N82" s="398">
        <v>5577</v>
      </c>
      <c r="O82" s="398" t="s">
        <v>5564</v>
      </c>
      <c r="P82" s="505">
        <v>0</v>
      </c>
    </row>
    <row r="83" spans="1:16" ht="15.75" customHeight="1">
      <c r="A83" s="502" t="s">
        <v>1572</v>
      </c>
      <c r="B83" s="503" t="s">
        <v>5565</v>
      </c>
      <c r="C83" s="504">
        <v>838916.14</v>
      </c>
      <c r="H83" s="398">
        <v>434550</v>
      </c>
      <c r="I83" s="505">
        <v>0</v>
      </c>
      <c r="N83" s="398">
        <v>9009694</v>
      </c>
      <c r="O83" s="398" t="s">
        <v>5566</v>
      </c>
      <c r="P83" s="505">
        <v>0</v>
      </c>
    </row>
    <row r="84" spans="1:16" ht="15.75" customHeight="1">
      <c r="A84" s="502" t="s">
        <v>1057</v>
      </c>
      <c r="B84" s="503" t="s">
        <v>5567</v>
      </c>
      <c r="C84" s="504">
        <v>822987.16</v>
      </c>
      <c r="H84" s="398">
        <v>463906</v>
      </c>
      <c r="I84" s="505">
        <v>0</v>
      </c>
      <c r="N84" s="398">
        <v>3214407</v>
      </c>
      <c r="O84" s="398" t="s">
        <v>5568</v>
      </c>
      <c r="P84" s="505">
        <v>0</v>
      </c>
    </row>
    <row r="85" spans="1:16" ht="15.75" customHeight="1">
      <c r="A85" s="502" t="s">
        <v>1515</v>
      </c>
      <c r="B85" s="503" t="s">
        <v>5569</v>
      </c>
      <c r="C85" s="504">
        <v>817424.37</v>
      </c>
      <c r="H85" s="398">
        <v>446028</v>
      </c>
      <c r="I85" s="398">
        <v>0</v>
      </c>
      <c r="N85" s="398">
        <v>3241823</v>
      </c>
      <c r="O85" s="398" t="s">
        <v>5570</v>
      </c>
      <c r="P85" s="505">
        <v>0</v>
      </c>
    </row>
    <row r="86" spans="1:16" ht="15.75" customHeight="1">
      <c r="A86" s="502" t="s">
        <v>1757</v>
      </c>
      <c r="B86" s="503" t="s">
        <v>5571</v>
      </c>
      <c r="C86" s="504">
        <v>807383.85</v>
      </c>
      <c r="H86" s="398">
        <v>34388</v>
      </c>
      <c r="I86" s="398">
        <v>0</v>
      </c>
      <c r="N86" s="398">
        <v>4468606</v>
      </c>
      <c r="O86" s="398" t="s">
        <v>5504</v>
      </c>
      <c r="P86" s="505">
        <v>0</v>
      </c>
    </row>
    <row r="87" spans="1:16" ht="15.75" customHeight="1">
      <c r="A87" s="502" t="s">
        <v>1628</v>
      </c>
      <c r="B87" s="503" t="s">
        <v>5468</v>
      </c>
      <c r="C87" s="504">
        <v>785155.52</v>
      </c>
      <c r="H87" s="398">
        <v>34321</v>
      </c>
      <c r="I87" s="398">
        <v>0</v>
      </c>
      <c r="N87" s="398">
        <v>8993002</v>
      </c>
      <c r="O87" s="398" t="s">
        <v>5572</v>
      </c>
      <c r="P87" s="505">
        <v>0</v>
      </c>
    </row>
    <row r="88" spans="1:16" ht="15.75" customHeight="1">
      <c r="A88" s="502" t="s">
        <v>2666</v>
      </c>
      <c r="B88" s="503" t="s">
        <v>5573</v>
      </c>
      <c r="C88" s="504">
        <v>772417.15</v>
      </c>
      <c r="H88" s="398">
        <v>39937</v>
      </c>
      <c r="I88" s="398">
        <v>0</v>
      </c>
      <c r="N88" s="398">
        <v>5663320</v>
      </c>
      <c r="O88" s="398" t="s">
        <v>5500</v>
      </c>
      <c r="P88" s="505">
        <v>0</v>
      </c>
    </row>
    <row r="89" spans="1:16" ht="15.75" customHeight="1">
      <c r="A89" s="502" t="s">
        <v>426</v>
      </c>
      <c r="B89" s="503" t="s">
        <v>5423</v>
      </c>
      <c r="C89" s="504">
        <v>753203.93</v>
      </c>
      <c r="H89" s="398">
        <v>35673</v>
      </c>
      <c r="I89" s="398">
        <v>0</v>
      </c>
      <c r="N89" s="398">
        <v>4452023</v>
      </c>
      <c r="O89" s="398" t="s">
        <v>5574</v>
      </c>
      <c r="P89" s="505">
        <v>114705.59</v>
      </c>
    </row>
    <row r="90" spans="1:16" ht="15.75" customHeight="1">
      <c r="A90" s="502" t="s">
        <v>724</v>
      </c>
      <c r="B90" s="503" t="s">
        <v>5575</v>
      </c>
      <c r="C90" s="504">
        <v>747251.01</v>
      </c>
      <c r="H90" s="398">
        <v>480861</v>
      </c>
      <c r="I90" s="398">
        <v>0</v>
      </c>
      <c r="N90" s="398">
        <v>5171052</v>
      </c>
      <c r="O90" s="398" t="s">
        <v>5576</v>
      </c>
      <c r="P90" s="505">
        <v>56554.59</v>
      </c>
    </row>
    <row r="91" spans="1:16" ht="15.75" customHeight="1">
      <c r="A91" s="502" t="s">
        <v>1502</v>
      </c>
      <c r="B91" s="503" t="s">
        <v>5459</v>
      </c>
      <c r="C91" s="504">
        <v>745103.84</v>
      </c>
      <c r="H91" s="398">
        <v>86513</v>
      </c>
      <c r="I91" s="505">
        <v>0</v>
      </c>
      <c r="N91" s="398">
        <v>4582050</v>
      </c>
      <c r="O91" s="398" t="s">
        <v>5577</v>
      </c>
      <c r="P91" s="505">
        <v>0</v>
      </c>
    </row>
    <row r="92" spans="1:16" ht="15.75" customHeight="1">
      <c r="A92" s="502" t="s">
        <v>2751</v>
      </c>
      <c r="B92" s="503" t="s">
        <v>5578</v>
      </c>
      <c r="C92" s="504">
        <v>738807.32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2233</v>
      </c>
      <c r="B93" s="503" t="s">
        <v>5580</v>
      </c>
      <c r="C93" s="504">
        <v>721141.54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307</v>
      </c>
      <c r="B94" s="503" t="s">
        <v>5485</v>
      </c>
      <c r="C94" s="504">
        <v>713508.8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377</v>
      </c>
      <c r="B95" s="503" t="s">
        <v>5583</v>
      </c>
      <c r="C95" s="504">
        <v>709257.37</v>
      </c>
      <c r="H95" s="398">
        <v>579208</v>
      </c>
      <c r="I95" s="505">
        <v>153090.22</v>
      </c>
      <c r="N95" s="398">
        <v>4396977</v>
      </c>
      <c r="O95" s="398" t="s">
        <v>5584</v>
      </c>
      <c r="P95" s="505">
        <v>0</v>
      </c>
    </row>
    <row r="96" spans="1:16" ht="15.75" customHeight="1">
      <c r="A96" s="502" t="s">
        <v>1972</v>
      </c>
      <c r="B96" s="503" t="s">
        <v>5443</v>
      </c>
      <c r="C96" s="504">
        <v>700643.35</v>
      </c>
      <c r="H96" s="398">
        <v>582180</v>
      </c>
      <c r="I96" s="505">
        <v>73900.740000000005</v>
      </c>
      <c r="N96" s="398">
        <v>4304013</v>
      </c>
      <c r="O96" s="398" t="s">
        <v>5585</v>
      </c>
      <c r="P96" s="505">
        <v>5099.78</v>
      </c>
    </row>
    <row r="97" spans="1:16" ht="15.75" customHeight="1">
      <c r="A97" s="502" t="s">
        <v>1590</v>
      </c>
      <c r="B97" s="503" t="s">
        <v>5586</v>
      </c>
      <c r="C97" s="504">
        <v>697675.62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1087</v>
      </c>
      <c r="B98" s="503" t="s">
        <v>5588</v>
      </c>
      <c r="C98" s="504">
        <v>696192.93</v>
      </c>
      <c r="H98" s="398">
        <v>560590</v>
      </c>
      <c r="I98" s="505">
        <v>0</v>
      </c>
      <c r="N98" s="398">
        <v>9274386</v>
      </c>
      <c r="O98" s="398" t="s">
        <v>5589</v>
      </c>
      <c r="P98" s="505">
        <v>0</v>
      </c>
    </row>
    <row r="99" spans="1:16" ht="15.75" customHeight="1">
      <c r="A99" s="502" t="s">
        <v>1953</v>
      </c>
      <c r="B99" s="503" t="s">
        <v>5443</v>
      </c>
      <c r="C99" s="504">
        <v>683286.19</v>
      </c>
      <c r="H99" s="398">
        <v>451702</v>
      </c>
      <c r="I99" s="505">
        <v>131.06</v>
      </c>
      <c r="N99" s="398">
        <v>9215559</v>
      </c>
      <c r="O99" s="398" t="s">
        <v>5590</v>
      </c>
      <c r="P99" s="505">
        <v>0</v>
      </c>
    </row>
    <row r="100" spans="1:16" ht="15.75" customHeight="1">
      <c r="A100" s="502" t="s">
        <v>324</v>
      </c>
      <c r="B100" s="503" t="s">
        <v>5485</v>
      </c>
      <c r="C100" s="504">
        <v>682572.06</v>
      </c>
      <c r="H100" s="398">
        <v>76952</v>
      </c>
      <c r="I100" s="398">
        <v>0</v>
      </c>
      <c r="N100" s="398">
        <v>4655754</v>
      </c>
      <c r="O100" s="398" t="s">
        <v>5591</v>
      </c>
      <c r="P100" s="505">
        <v>0</v>
      </c>
    </row>
    <row r="101" spans="1:16" ht="15.75" customHeight="1">
      <c r="A101" s="502" t="s">
        <v>1219</v>
      </c>
      <c r="B101" s="503" t="s">
        <v>5592</v>
      </c>
      <c r="C101" s="504">
        <v>680259.63</v>
      </c>
      <c r="H101" s="398">
        <v>381137</v>
      </c>
      <c r="I101" s="505">
        <v>48826.89</v>
      </c>
      <c r="N101" s="398">
        <v>3679808</v>
      </c>
      <c r="O101" s="398" t="s">
        <v>5593</v>
      </c>
      <c r="P101" s="505">
        <v>0</v>
      </c>
    </row>
    <row r="102" spans="1:16" ht="15.75" customHeight="1">
      <c r="A102" s="502" t="s">
        <v>534</v>
      </c>
      <c r="B102" s="503" t="s">
        <v>5445</v>
      </c>
      <c r="C102" s="504">
        <v>677218.04</v>
      </c>
      <c r="H102" s="398">
        <v>31793</v>
      </c>
      <c r="I102" s="505">
        <v>196847.48</v>
      </c>
      <c r="N102" s="398">
        <v>6096787</v>
      </c>
      <c r="O102" s="398" t="s">
        <v>5594</v>
      </c>
      <c r="P102" s="505">
        <v>0</v>
      </c>
    </row>
    <row r="103" spans="1:16" ht="15.75" customHeight="1">
      <c r="A103" s="502" t="s">
        <v>217</v>
      </c>
      <c r="B103" s="503" t="s">
        <v>5595</v>
      </c>
      <c r="C103" s="504">
        <v>662649.15</v>
      </c>
      <c r="H103" s="398">
        <v>266389</v>
      </c>
      <c r="I103" s="505">
        <v>0</v>
      </c>
      <c r="N103" s="398">
        <v>2089993</v>
      </c>
      <c r="O103" s="398" t="s">
        <v>5596</v>
      </c>
      <c r="P103" s="505">
        <v>0</v>
      </c>
    </row>
    <row r="104" spans="1:16" ht="15.75" customHeight="1">
      <c r="A104" s="502" t="s">
        <v>1288</v>
      </c>
      <c r="B104" s="503" t="s">
        <v>5597</v>
      </c>
      <c r="C104" s="504">
        <v>652421.26</v>
      </c>
      <c r="H104" s="398">
        <v>31966</v>
      </c>
      <c r="I104" s="398">
        <v>0</v>
      </c>
      <c r="N104" s="398">
        <v>2523005</v>
      </c>
      <c r="O104" s="398" t="s">
        <v>5598</v>
      </c>
      <c r="P104" s="505">
        <v>0</v>
      </c>
    </row>
    <row r="105" spans="1:16" ht="15.75" customHeight="1">
      <c r="A105" s="502" t="s">
        <v>1236</v>
      </c>
      <c r="B105" s="503" t="s">
        <v>5599</v>
      </c>
      <c r="C105" s="504">
        <v>643555.14</v>
      </c>
      <c r="H105" s="398">
        <v>32897</v>
      </c>
      <c r="I105" s="505">
        <v>35.409999999999997</v>
      </c>
      <c r="N105" s="398">
        <v>6199853</v>
      </c>
      <c r="O105" s="398" t="s">
        <v>5600</v>
      </c>
      <c r="P105" s="505">
        <v>0</v>
      </c>
    </row>
    <row r="106" spans="1:16" ht="15.75" customHeight="1">
      <c r="A106" s="502" t="s">
        <v>405</v>
      </c>
      <c r="B106" s="503" t="s">
        <v>5425</v>
      </c>
      <c r="C106" s="504">
        <v>635204.46</v>
      </c>
      <c r="H106" s="398">
        <v>39137</v>
      </c>
      <c r="I106" s="505">
        <v>0</v>
      </c>
      <c r="N106" s="398">
        <v>6456590</v>
      </c>
      <c r="O106" s="398" t="s">
        <v>5601</v>
      </c>
      <c r="P106" s="505">
        <v>1.06</v>
      </c>
    </row>
    <row r="107" spans="1:16" ht="15.75" customHeight="1">
      <c r="A107" s="502" t="s">
        <v>1327</v>
      </c>
      <c r="B107" s="503" t="s">
        <v>5557</v>
      </c>
      <c r="C107" s="504">
        <v>630986.76</v>
      </c>
      <c r="H107" s="398">
        <v>32362</v>
      </c>
      <c r="I107" s="398">
        <v>0</v>
      </c>
      <c r="N107" s="398">
        <v>8688629</v>
      </c>
      <c r="O107" s="398" t="s">
        <v>5602</v>
      </c>
      <c r="P107" s="505">
        <v>0</v>
      </c>
    </row>
    <row r="108" spans="1:16" ht="15.75" customHeight="1">
      <c r="A108" s="502" t="s">
        <v>503</v>
      </c>
      <c r="B108" s="503" t="s">
        <v>5603</v>
      </c>
      <c r="C108" s="504">
        <v>630501.55000000005</v>
      </c>
      <c r="H108" s="398">
        <v>32254</v>
      </c>
      <c r="I108" s="398">
        <v>0</v>
      </c>
      <c r="N108" s="398">
        <v>3102597</v>
      </c>
      <c r="O108" s="398" t="s">
        <v>5604</v>
      </c>
      <c r="P108" s="505">
        <v>0</v>
      </c>
    </row>
    <row r="109" spans="1:16" ht="15.75" customHeight="1">
      <c r="A109" s="502" t="s">
        <v>1004</v>
      </c>
      <c r="B109" s="503" t="s">
        <v>5605</v>
      </c>
      <c r="C109" s="504">
        <v>627980.97</v>
      </c>
      <c r="H109" s="398">
        <v>577499</v>
      </c>
      <c r="I109" s="398">
        <v>0</v>
      </c>
      <c r="N109" s="398">
        <v>2673476</v>
      </c>
      <c r="O109" s="398" t="s">
        <v>5606</v>
      </c>
      <c r="P109" s="505">
        <v>0.15</v>
      </c>
    </row>
    <row r="110" spans="1:16" ht="15.75" customHeight="1">
      <c r="A110" s="502" t="s">
        <v>531</v>
      </c>
      <c r="B110" s="503" t="s">
        <v>5445</v>
      </c>
      <c r="C110" s="504">
        <v>625638.98</v>
      </c>
      <c r="H110" s="398">
        <v>32702</v>
      </c>
      <c r="I110" s="398">
        <v>0</v>
      </c>
      <c r="N110" s="398">
        <v>3025955</v>
      </c>
      <c r="O110" s="398" t="s">
        <v>5607</v>
      </c>
      <c r="P110" s="505">
        <v>0</v>
      </c>
    </row>
    <row r="111" spans="1:16" ht="15.75" customHeight="1">
      <c r="A111" s="502" t="s">
        <v>540</v>
      </c>
      <c r="B111" s="503" t="s">
        <v>5445</v>
      </c>
      <c r="C111" s="504">
        <v>618130.65</v>
      </c>
      <c r="H111" s="398">
        <v>435597</v>
      </c>
      <c r="I111" s="505">
        <v>0</v>
      </c>
      <c r="N111" s="398">
        <v>4478774</v>
      </c>
      <c r="O111" s="398" t="s">
        <v>5608</v>
      </c>
      <c r="P111" s="505">
        <v>0</v>
      </c>
    </row>
    <row r="112" spans="1:16" ht="15.75" customHeight="1">
      <c r="A112" s="502" t="s">
        <v>2095</v>
      </c>
      <c r="B112" s="503" t="s">
        <v>5609</v>
      </c>
      <c r="C112" s="504">
        <v>615838.1</v>
      </c>
      <c r="H112" s="398">
        <v>34985</v>
      </c>
      <c r="I112" s="398">
        <v>0</v>
      </c>
      <c r="N112" s="398">
        <v>9145079</v>
      </c>
      <c r="O112" s="398" t="s">
        <v>5610</v>
      </c>
      <c r="P112" s="505">
        <v>2715.53</v>
      </c>
    </row>
    <row r="113" spans="1:16" ht="15.75" customHeight="1">
      <c r="A113" s="502" t="s">
        <v>1305</v>
      </c>
      <c r="B113" s="503" t="s">
        <v>5611</v>
      </c>
      <c r="C113" s="504">
        <v>609776.94999999995</v>
      </c>
      <c r="H113" s="398">
        <v>85867</v>
      </c>
      <c r="I113" s="505">
        <v>132091.42000000001</v>
      </c>
      <c r="N113" s="398">
        <v>4622255</v>
      </c>
      <c r="O113" s="398" t="s">
        <v>5612</v>
      </c>
      <c r="P113" s="505">
        <v>0</v>
      </c>
    </row>
    <row r="114" spans="1:16" ht="15.75" customHeight="1">
      <c r="A114" s="502" t="s">
        <v>1854</v>
      </c>
      <c r="B114" s="503" t="s">
        <v>5613</v>
      </c>
      <c r="C114" s="504">
        <v>604274.06999999995</v>
      </c>
      <c r="H114" s="398">
        <v>33722</v>
      </c>
      <c r="I114" s="505">
        <v>0</v>
      </c>
      <c r="N114" s="398">
        <v>7393141</v>
      </c>
      <c r="O114" s="398" t="s">
        <v>5614</v>
      </c>
      <c r="P114" s="505">
        <v>0</v>
      </c>
    </row>
    <row r="115" spans="1:16" ht="15.75" customHeight="1">
      <c r="A115" s="502" t="s">
        <v>2608</v>
      </c>
      <c r="B115" s="503" t="s">
        <v>5615</v>
      </c>
      <c r="C115" s="504">
        <v>603114</v>
      </c>
      <c r="H115" s="398">
        <v>388028</v>
      </c>
      <c r="I115" s="398">
        <v>0</v>
      </c>
      <c r="N115" s="398">
        <v>4084071</v>
      </c>
      <c r="O115" s="398" t="s">
        <v>5616</v>
      </c>
      <c r="P115" s="505">
        <v>0</v>
      </c>
    </row>
    <row r="116" spans="1:16" ht="15.75" customHeight="1">
      <c r="A116" s="502" t="s">
        <v>2167</v>
      </c>
      <c r="B116" s="503" t="s">
        <v>5617</v>
      </c>
      <c r="C116" s="504">
        <v>598385.30000000005</v>
      </c>
      <c r="H116" s="398">
        <v>388035</v>
      </c>
      <c r="I116" s="398">
        <v>0</v>
      </c>
      <c r="N116" s="398">
        <v>2160689</v>
      </c>
      <c r="O116" s="398" t="s">
        <v>5618</v>
      </c>
      <c r="P116" s="505">
        <v>51462.29</v>
      </c>
    </row>
    <row r="117" spans="1:16" ht="15.75" customHeight="1">
      <c r="A117" s="502" t="s">
        <v>412</v>
      </c>
      <c r="B117" s="503" t="s">
        <v>5425</v>
      </c>
      <c r="C117" s="504">
        <v>592662.18999999994</v>
      </c>
      <c r="H117" s="398">
        <v>330314</v>
      </c>
      <c r="I117" s="505">
        <v>0</v>
      </c>
      <c r="N117" s="398">
        <v>3658320</v>
      </c>
      <c r="O117" s="398" t="s">
        <v>5619</v>
      </c>
      <c r="P117" s="505">
        <v>0</v>
      </c>
    </row>
    <row r="118" spans="1:16" ht="15.75" customHeight="1">
      <c r="A118" s="502" t="s">
        <v>1319</v>
      </c>
      <c r="B118" s="503" t="s">
        <v>5620</v>
      </c>
      <c r="C118" s="504">
        <v>589531.06999999995</v>
      </c>
      <c r="H118" s="398">
        <v>285004</v>
      </c>
      <c r="I118" s="398">
        <v>0</v>
      </c>
      <c r="N118" s="398">
        <v>4929433</v>
      </c>
      <c r="O118" s="398" t="s">
        <v>5621</v>
      </c>
      <c r="P118" s="505">
        <v>0</v>
      </c>
    </row>
    <row r="119" spans="1:16" ht="15.75" customHeight="1">
      <c r="A119" s="502" t="s">
        <v>2548</v>
      </c>
      <c r="B119" s="503" t="s">
        <v>5622</v>
      </c>
      <c r="C119" s="504">
        <v>583717.02</v>
      </c>
      <c r="H119" s="398">
        <v>32879</v>
      </c>
      <c r="I119" s="505">
        <v>0</v>
      </c>
      <c r="N119" s="398">
        <v>4001766</v>
      </c>
      <c r="O119" s="398" t="s">
        <v>5623</v>
      </c>
      <c r="P119" s="505">
        <v>7.63</v>
      </c>
    </row>
    <row r="120" spans="1:16" ht="15.75" customHeight="1">
      <c r="A120" s="502" t="s">
        <v>896</v>
      </c>
      <c r="B120" s="503" t="s">
        <v>5433</v>
      </c>
      <c r="C120" s="504">
        <v>582888.27</v>
      </c>
      <c r="H120" s="398">
        <v>33154</v>
      </c>
      <c r="I120" s="505">
        <v>0</v>
      </c>
      <c r="N120" s="398">
        <v>7738705</v>
      </c>
      <c r="O120" s="398" t="s">
        <v>5624</v>
      </c>
      <c r="P120" s="505">
        <v>0</v>
      </c>
    </row>
    <row r="121" spans="1:16" ht="15.75" customHeight="1">
      <c r="A121" s="502" t="s">
        <v>980</v>
      </c>
      <c r="B121" s="503" t="s">
        <v>5625</v>
      </c>
      <c r="C121" s="504">
        <v>581439.19999999995</v>
      </c>
      <c r="H121" s="398">
        <v>34322</v>
      </c>
      <c r="I121" s="398">
        <v>445.28</v>
      </c>
      <c r="N121" s="398">
        <v>3924234</v>
      </c>
      <c r="O121" s="398" t="s">
        <v>5277</v>
      </c>
      <c r="P121" s="505">
        <v>0</v>
      </c>
    </row>
    <row r="122" spans="1:16" ht="15.75" customHeight="1">
      <c r="A122" s="502" t="s">
        <v>2454</v>
      </c>
      <c r="B122" s="503" t="s">
        <v>5626</v>
      </c>
      <c r="C122" s="504">
        <v>579507</v>
      </c>
      <c r="H122" s="398">
        <v>34368</v>
      </c>
      <c r="I122" s="505">
        <v>40.6</v>
      </c>
      <c r="N122" s="398">
        <v>7514118</v>
      </c>
      <c r="O122" s="398" t="s">
        <v>5627</v>
      </c>
      <c r="P122" s="505">
        <v>0</v>
      </c>
    </row>
    <row r="123" spans="1:16" ht="15.75" customHeight="1">
      <c r="A123" s="502" t="s">
        <v>2062</v>
      </c>
      <c r="B123" s="503" t="s">
        <v>5628</v>
      </c>
      <c r="C123" s="504">
        <v>577665.97</v>
      </c>
      <c r="H123" s="398">
        <v>649332</v>
      </c>
      <c r="I123" s="505">
        <v>0</v>
      </c>
      <c r="N123" s="398">
        <v>9009128</v>
      </c>
      <c r="O123" s="398" t="s">
        <v>5629</v>
      </c>
      <c r="P123" s="505">
        <v>0</v>
      </c>
    </row>
    <row r="124" spans="1:16" ht="15.75" customHeight="1">
      <c r="A124" s="502" t="s">
        <v>545</v>
      </c>
      <c r="B124" s="503" t="s">
        <v>5445</v>
      </c>
      <c r="C124" s="504">
        <v>569172.18999999994</v>
      </c>
      <c r="H124" s="398">
        <v>448575</v>
      </c>
      <c r="I124" s="398">
        <v>0</v>
      </c>
      <c r="N124" s="398">
        <v>3500160</v>
      </c>
      <c r="O124" s="398" t="s">
        <v>5630</v>
      </c>
      <c r="P124" s="505">
        <v>937057.66</v>
      </c>
    </row>
    <row r="125" spans="1:16" ht="15.75" customHeight="1">
      <c r="A125" s="502" t="s">
        <v>841</v>
      </c>
      <c r="B125" s="503" t="s">
        <v>5631</v>
      </c>
      <c r="C125" s="504">
        <v>551073.11</v>
      </c>
      <c r="H125" s="398">
        <v>580912</v>
      </c>
      <c r="I125" s="505">
        <v>0</v>
      </c>
      <c r="N125" s="398">
        <v>3768368</v>
      </c>
      <c r="O125" s="398" t="s">
        <v>5632</v>
      </c>
      <c r="P125" s="505">
        <v>0</v>
      </c>
    </row>
    <row r="126" spans="1:16" ht="15.75" customHeight="1">
      <c r="A126" s="502" t="s">
        <v>2742</v>
      </c>
      <c r="B126" s="503" t="s">
        <v>5633</v>
      </c>
      <c r="C126" s="504">
        <v>547866.31000000006</v>
      </c>
      <c r="H126" s="398">
        <v>382026</v>
      </c>
      <c r="I126" s="505">
        <v>0</v>
      </c>
      <c r="N126" s="398">
        <v>4785856</v>
      </c>
      <c r="O126" s="398" t="s">
        <v>5634</v>
      </c>
      <c r="P126" s="505">
        <v>0</v>
      </c>
    </row>
    <row r="127" spans="1:16" ht="15.75" customHeight="1">
      <c r="A127" s="502" t="s">
        <v>2823</v>
      </c>
      <c r="B127" s="503" t="s">
        <v>5635</v>
      </c>
      <c r="C127" s="504">
        <v>533848.17000000004</v>
      </c>
      <c r="H127" s="398">
        <v>806458</v>
      </c>
      <c r="I127" s="505">
        <v>765764.54</v>
      </c>
      <c r="N127" s="398">
        <v>3581528</v>
      </c>
      <c r="O127" s="398" t="s">
        <v>5636</v>
      </c>
      <c r="P127" s="505">
        <v>0</v>
      </c>
    </row>
    <row r="128" spans="1:16" ht="15.75" customHeight="1">
      <c r="A128" s="502" t="s">
        <v>183</v>
      </c>
      <c r="B128" s="503" t="s">
        <v>5637</v>
      </c>
      <c r="C128" s="504">
        <v>531381.65</v>
      </c>
      <c r="H128" s="398">
        <v>254177</v>
      </c>
      <c r="I128" s="505">
        <v>130080.32000000001</v>
      </c>
      <c r="N128" s="398">
        <v>3221916</v>
      </c>
      <c r="O128" s="398" t="s">
        <v>5638</v>
      </c>
      <c r="P128" s="505">
        <v>0</v>
      </c>
    </row>
    <row r="129" spans="1:16" ht="15.75" customHeight="1">
      <c r="A129" s="502" t="s">
        <v>1454</v>
      </c>
      <c r="B129" s="503" t="s">
        <v>5639</v>
      </c>
      <c r="C129" s="504">
        <v>528929.93999999994</v>
      </c>
      <c r="H129" s="398">
        <v>33371</v>
      </c>
      <c r="I129" s="505">
        <v>323962.26</v>
      </c>
      <c r="N129" s="398">
        <v>188081</v>
      </c>
      <c r="O129" s="398" t="s">
        <v>5640</v>
      </c>
      <c r="P129" s="505">
        <v>0</v>
      </c>
    </row>
    <row r="130" spans="1:16" ht="15.75" customHeight="1">
      <c r="A130" s="502" t="s">
        <v>1008</v>
      </c>
      <c r="B130" s="503" t="s">
        <v>5641</v>
      </c>
      <c r="C130" s="504">
        <v>527139.21</v>
      </c>
      <c r="H130" s="398">
        <v>439655</v>
      </c>
      <c r="I130" s="505">
        <v>1249257.8</v>
      </c>
      <c r="N130" s="398">
        <v>7273700</v>
      </c>
      <c r="O130" s="398" t="s">
        <v>5642</v>
      </c>
      <c r="P130" s="505">
        <v>0</v>
      </c>
    </row>
    <row r="131" spans="1:16" ht="15.75" customHeight="1">
      <c r="A131" s="502" t="s">
        <v>554</v>
      </c>
      <c r="B131" s="503" t="s">
        <v>5643</v>
      </c>
      <c r="C131" s="504">
        <v>522056.74</v>
      </c>
      <c r="H131" s="398">
        <v>33344</v>
      </c>
      <c r="I131" s="505">
        <v>0</v>
      </c>
      <c r="N131" s="398">
        <v>4847801</v>
      </c>
      <c r="O131" s="398" t="s">
        <v>5644</v>
      </c>
      <c r="P131" s="505">
        <v>0</v>
      </c>
    </row>
    <row r="132" spans="1:16" ht="15.75" customHeight="1">
      <c r="A132" s="502" t="s">
        <v>890</v>
      </c>
      <c r="B132" s="503" t="s">
        <v>5645</v>
      </c>
      <c r="C132" s="504">
        <v>521496.34</v>
      </c>
      <c r="H132" s="398">
        <v>47841</v>
      </c>
      <c r="I132" s="398">
        <v>0</v>
      </c>
      <c r="N132" s="398">
        <v>4926548</v>
      </c>
      <c r="O132" s="398" t="s">
        <v>5646</v>
      </c>
      <c r="P132" s="505">
        <v>0</v>
      </c>
    </row>
    <row r="133" spans="1:16" ht="15.75" customHeight="1">
      <c r="A133" s="502" t="s">
        <v>1601</v>
      </c>
      <c r="B133" s="503" t="s">
        <v>5647</v>
      </c>
      <c r="C133" s="504">
        <v>520234.63</v>
      </c>
      <c r="H133" s="398">
        <v>451710</v>
      </c>
      <c r="I133" s="505">
        <v>196458.18</v>
      </c>
      <c r="N133" s="398">
        <v>2257037</v>
      </c>
      <c r="O133" s="398" t="s">
        <v>5533</v>
      </c>
      <c r="P133" s="505">
        <v>0</v>
      </c>
    </row>
    <row r="134" spans="1:16" ht="15.75" customHeight="1">
      <c r="A134" s="502" t="s">
        <v>744</v>
      </c>
      <c r="B134" s="503" t="s">
        <v>4129</v>
      </c>
      <c r="C134" s="504">
        <v>519340.93</v>
      </c>
      <c r="H134" s="398">
        <v>356345</v>
      </c>
      <c r="I134" s="505">
        <v>0</v>
      </c>
      <c r="N134" s="398">
        <v>2834519</v>
      </c>
      <c r="O134" s="398" t="s">
        <v>5648</v>
      </c>
      <c r="P134" s="505">
        <v>66.14</v>
      </c>
    </row>
    <row r="135" spans="1:16" ht="15.75" customHeight="1">
      <c r="A135" s="502" t="s">
        <v>2585</v>
      </c>
      <c r="B135" s="503" t="s">
        <v>5649</v>
      </c>
      <c r="C135" s="504">
        <v>518914.25</v>
      </c>
      <c r="H135" s="398">
        <v>86469</v>
      </c>
      <c r="I135" s="505">
        <v>0</v>
      </c>
      <c r="N135" s="398">
        <v>4600625</v>
      </c>
      <c r="O135" s="398" t="s">
        <v>5650</v>
      </c>
      <c r="P135" s="505">
        <v>0</v>
      </c>
    </row>
    <row r="136" spans="1:16" ht="15.75" customHeight="1">
      <c r="A136" s="502" t="s">
        <v>882</v>
      </c>
      <c r="B136" s="503" t="s">
        <v>5447</v>
      </c>
      <c r="C136" s="504">
        <v>517238</v>
      </c>
      <c r="H136" s="398">
        <v>338375</v>
      </c>
      <c r="I136" s="505">
        <v>0</v>
      </c>
      <c r="N136" s="398">
        <v>7032894</v>
      </c>
      <c r="O136" s="398" t="s">
        <v>5504</v>
      </c>
      <c r="P136" s="505">
        <v>36983.97</v>
      </c>
    </row>
    <row r="137" spans="1:16" ht="15.75" customHeight="1">
      <c r="A137" s="502" t="s">
        <v>987</v>
      </c>
      <c r="B137" s="503" t="s">
        <v>5651</v>
      </c>
      <c r="C137" s="504">
        <v>515781.75</v>
      </c>
      <c r="H137" s="398">
        <v>355808</v>
      </c>
      <c r="I137" s="398">
        <v>0</v>
      </c>
      <c r="N137" s="398">
        <v>4064668</v>
      </c>
      <c r="O137" s="398" t="s">
        <v>5652</v>
      </c>
      <c r="P137" s="505">
        <v>50849.31</v>
      </c>
    </row>
    <row r="138" spans="1:16" ht="15.75" customHeight="1">
      <c r="A138" s="502" t="s">
        <v>1429</v>
      </c>
      <c r="B138" s="503" t="s">
        <v>5653</v>
      </c>
      <c r="C138" s="504">
        <v>509934.15</v>
      </c>
      <c r="H138" s="398">
        <v>466367</v>
      </c>
      <c r="I138" s="398">
        <v>0</v>
      </c>
      <c r="N138" s="398">
        <v>4798641</v>
      </c>
      <c r="O138" s="398" t="s">
        <v>5654</v>
      </c>
      <c r="P138" s="505">
        <v>0</v>
      </c>
    </row>
    <row r="139" spans="1:16" ht="15.75" customHeight="1">
      <c r="A139" s="502" t="s">
        <v>2133</v>
      </c>
      <c r="B139" s="503" t="s">
        <v>5655</v>
      </c>
      <c r="C139" s="504">
        <v>507716.58</v>
      </c>
      <c r="H139" s="398">
        <v>75774</v>
      </c>
      <c r="I139" s="505">
        <v>34921.25</v>
      </c>
      <c r="N139" s="398">
        <v>4402972</v>
      </c>
      <c r="O139" s="398" t="s">
        <v>5656</v>
      </c>
      <c r="P139" s="505">
        <v>0</v>
      </c>
    </row>
    <row r="140" spans="1:16" ht="15.75" customHeight="1">
      <c r="A140" s="502" t="s">
        <v>1325</v>
      </c>
      <c r="B140" s="503" t="s">
        <v>5657</v>
      </c>
      <c r="C140" s="504">
        <v>506353.41</v>
      </c>
      <c r="H140" s="398">
        <v>386951</v>
      </c>
      <c r="I140" s="505">
        <v>109717.08</v>
      </c>
      <c r="N140" s="398">
        <v>7605641</v>
      </c>
      <c r="O140" s="398" t="s">
        <v>5627</v>
      </c>
      <c r="P140" s="505">
        <v>0</v>
      </c>
    </row>
    <row r="141" spans="1:16" ht="15.75" customHeight="1">
      <c r="A141" s="502" t="s">
        <v>1738</v>
      </c>
      <c r="B141" s="503" t="s">
        <v>5658</v>
      </c>
      <c r="C141" s="504">
        <v>501216.6</v>
      </c>
      <c r="H141" s="398">
        <v>38503</v>
      </c>
      <c r="I141" s="398">
        <v>57</v>
      </c>
      <c r="N141" s="398">
        <v>4924154</v>
      </c>
      <c r="O141" s="398" t="s">
        <v>5659</v>
      </c>
      <c r="P141" s="505">
        <v>57798.85</v>
      </c>
    </row>
    <row r="142" spans="1:16" ht="15.75" customHeight="1">
      <c r="A142" s="502" t="s">
        <v>393</v>
      </c>
      <c r="B142" s="503" t="s">
        <v>5660</v>
      </c>
      <c r="C142" s="504">
        <v>497533.06</v>
      </c>
      <c r="H142" s="398">
        <v>34479</v>
      </c>
      <c r="I142" s="398">
        <v>0</v>
      </c>
      <c r="N142" s="398">
        <v>8698050</v>
      </c>
      <c r="O142" s="398" t="s">
        <v>5661</v>
      </c>
      <c r="P142" s="505">
        <v>0</v>
      </c>
    </row>
    <row r="143" spans="1:16" ht="15.75" customHeight="1">
      <c r="A143" s="502" t="s">
        <v>1300</v>
      </c>
      <c r="B143" s="503" t="s">
        <v>5662</v>
      </c>
      <c r="C143" s="504">
        <v>497464.55</v>
      </c>
      <c r="H143" s="398">
        <v>454037</v>
      </c>
      <c r="I143" s="398">
        <v>0</v>
      </c>
      <c r="N143" s="398">
        <v>4461684</v>
      </c>
      <c r="O143" s="398" t="s">
        <v>5663</v>
      </c>
      <c r="P143" s="505">
        <v>0</v>
      </c>
    </row>
    <row r="144" spans="1:16" ht="15.75" customHeight="1">
      <c r="A144" s="502" t="s">
        <v>2269</v>
      </c>
      <c r="B144" s="503" t="s">
        <v>5664</v>
      </c>
      <c r="C144" s="504">
        <v>497268.59</v>
      </c>
      <c r="H144" s="398">
        <v>448825</v>
      </c>
      <c r="I144" s="398">
        <v>0</v>
      </c>
      <c r="N144" s="398">
        <v>3428496</v>
      </c>
      <c r="O144" s="398" t="s">
        <v>5665</v>
      </c>
      <c r="P144" s="505">
        <v>0</v>
      </c>
    </row>
    <row r="145" spans="1:16" ht="15.75" customHeight="1">
      <c r="A145" s="502" t="s">
        <v>1385</v>
      </c>
      <c r="B145" s="503" t="s">
        <v>5666</v>
      </c>
      <c r="C145" s="504">
        <v>495685.46</v>
      </c>
      <c r="H145" s="398">
        <v>86056</v>
      </c>
      <c r="I145" s="398">
        <v>0</v>
      </c>
      <c r="N145" s="398">
        <v>5620188</v>
      </c>
      <c r="O145" s="398" t="s">
        <v>5667</v>
      </c>
      <c r="P145" s="505">
        <v>0</v>
      </c>
    </row>
    <row r="146" spans="1:16" ht="15.75" customHeight="1">
      <c r="A146" s="502" t="s">
        <v>1322</v>
      </c>
      <c r="B146" s="503" t="s">
        <v>5668</v>
      </c>
      <c r="C146" s="504">
        <v>493971.04</v>
      </c>
      <c r="H146" s="398">
        <v>75471</v>
      </c>
      <c r="I146" s="398">
        <v>0</v>
      </c>
      <c r="N146" s="398">
        <v>4422652</v>
      </c>
      <c r="O146" s="398" t="s">
        <v>5669</v>
      </c>
      <c r="P146" s="505">
        <v>0</v>
      </c>
    </row>
    <row r="147" spans="1:16" ht="15.75" customHeight="1">
      <c r="A147" s="502" t="s">
        <v>2678</v>
      </c>
      <c r="B147" s="503" t="s">
        <v>5670</v>
      </c>
      <c r="C147" s="504">
        <v>491128.83</v>
      </c>
      <c r="H147" s="398">
        <v>76397</v>
      </c>
      <c r="I147" s="398">
        <v>0</v>
      </c>
      <c r="N147" s="398">
        <v>4848036</v>
      </c>
      <c r="O147" s="398" t="s">
        <v>5671</v>
      </c>
      <c r="P147" s="505">
        <v>0</v>
      </c>
    </row>
    <row r="148" spans="1:16" ht="15.75" customHeight="1">
      <c r="A148" s="502" t="s">
        <v>169</v>
      </c>
      <c r="B148" s="503" t="s">
        <v>5672</v>
      </c>
      <c r="C148" s="504">
        <v>486331.16</v>
      </c>
      <c r="H148" s="398">
        <v>78937</v>
      </c>
      <c r="I148" s="398">
        <v>0</v>
      </c>
      <c r="N148" s="398">
        <v>8521711</v>
      </c>
      <c r="O148" s="398" t="s">
        <v>5673</v>
      </c>
      <c r="P148" s="505">
        <v>0</v>
      </c>
    </row>
    <row r="149" spans="1:16" ht="15.75" customHeight="1">
      <c r="A149" s="502" t="s">
        <v>214</v>
      </c>
      <c r="B149" s="503" t="s">
        <v>5595</v>
      </c>
      <c r="C149" s="504">
        <v>485933.8</v>
      </c>
      <c r="H149" s="398">
        <v>338433</v>
      </c>
      <c r="I149" s="398">
        <v>15.28</v>
      </c>
      <c r="N149" s="398">
        <v>8765907</v>
      </c>
      <c r="O149" s="398" t="s">
        <v>5674</v>
      </c>
      <c r="P149" s="505">
        <v>0</v>
      </c>
    </row>
    <row r="150" spans="1:16" ht="15.75" customHeight="1">
      <c r="A150" s="502" t="s">
        <v>2342</v>
      </c>
      <c r="B150" s="503" t="s">
        <v>5675</v>
      </c>
      <c r="C150" s="504">
        <v>485390.63</v>
      </c>
      <c r="H150" s="398">
        <v>452835</v>
      </c>
      <c r="I150" s="505">
        <v>1394.11</v>
      </c>
      <c r="N150" s="398">
        <v>5613795</v>
      </c>
      <c r="O150" s="398" t="s">
        <v>5676</v>
      </c>
      <c r="P150" s="505">
        <v>0</v>
      </c>
    </row>
    <row r="151" spans="1:16" ht="15.75" customHeight="1">
      <c r="A151" s="502" t="s">
        <v>2841</v>
      </c>
      <c r="B151" s="503" t="s">
        <v>5677</v>
      </c>
      <c r="C151" s="504">
        <v>481121.43</v>
      </c>
      <c r="H151" s="398">
        <v>287545</v>
      </c>
      <c r="I151" s="398">
        <v>0</v>
      </c>
      <c r="N151" s="398">
        <v>2476582</v>
      </c>
      <c r="O151" s="398" t="s">
        <v>5678</v>
      </c>
      <c r="P151" s="505">
        <v>0</v>
      </c>
    </row>
    <row r="152" spans="1:16" ht="15.75" customHeight="1">
      <c r="A152" s="502" t="s">
        <v>678</v>
      </c>
      <c r="B152" s="503" t="s">
        <v>5679</v>
      </c>
      <c r="C152" s="504">
        <v>480826.71</v>
      </c>
      <c r="H152" s="398">
        <v>33838</v>
      </c>
      <c r="I152" s="505">
        <v>2047664.01</v>
      </c>
      <c r="N152" s="398">
        <v>7772052</v>
      </c>
      <c r="O152" s="398" t="s">
        <v>5680</v>
      </c>
      <c r="P152" s="505">
        <v>0</v>
      </c>
    </row>
    <row r="153" spans="1:16" ht="15.75" customHeight="1">
      <c r="A153" s="502" t="s">
        <v>1965</v>
      </c>
      <c r="B153" s="503" t="s">
        <v>5443</v>
      </c>
      <c r="C153" s="504">
        <v>469352.46</v>
      </c>
      <c r="H153" s="398">
        <v>32684</v>
      </c>
      <c r="I153" s="398">
        <v>0</v>
      </c>
      <c r="N153" s="398">
        <v>5581002</v>
      </c>
      <c r="O153" s="398" t="s">
        <v>5659</v>
      </c>
      <c r="P153" s="505">
        <v>0</v>
      </c>
    </row>
    <row r="154" spans="1:16" ht="15.75" customHeight="1">
      <c r="A154" s="502" t="s">
        <v>1482</v>
      </c>
      <c r="B154" s="503" t="s">
        <v>5459</v>
      </c>
      <c r="C154" s="504">
        <v>466822.05</v>
      </c>
      <c r="H154" s="398">
        <v>85707</v>
      </c>
      <c r="I154" s="505">
        <v>245007.79</v>
      </c>
      <c r="N154" s="398">
        <v>394871</v>
      </c>
      <c r="O154" s="398" t="s">
        <v>5681</v>
      </c>
      <c r="P154" s="505">
        <v>0</v>
      </c>
    </row>
    <row r="155" spans="1:16" ht="15.75" customHeight="1">
      <c r="A155" s="502" t="s">
        <v>418</v>
      </c>
      <c r="B155" s="503" t="s">
        <v>5682</v>
      </c>
      <c r="C155" s="504">
        <v>465666.69</v>
      </c>
      <c r="H155" s="398">
        <v>378146</v>
      </c>
      <c r="I155" s="505">
        <v>383093.11</v>
      </c>
      <c r="N155" s="398">
        <v>3029846</v>
      </c>
      <c r="O155" s="398" t="s">
        <v>5683</v>
      </c>
      <c r="P155" s="505">
        <v>1266.95</v>
      </c>
    </row>
    <row r="156" spans="1:16" ht="15.75" customHeight="1">
      <c r="A156" s="502" t="s">
        <v>2186</v>
      </c>
      <c r="B156" s="503" t="s">
        <v>5684</v>
      </c>
      <c r="C156" s="504">
        <v>456939.26</v>
      </c>
      <c r="H156" s="398">
        <v>80477</v>
      </c>
      <c r="I156" s="398">
        <v>0</v>
      </c>
      <c r="N156" s="398">
        <v>7263623</v>
      </c>
      <c r="O156" s="398" t="s">
        <v>5685</v>
      </c>
      <c r="P156" s="505">
        <v>0</v>
      </c>
    </row>
    <row r="157" spans="1:16" ht="15.75" customHeight="1">
      <c r="A157" s="502" t="s">
        <v>2278</v>
      </c>
      <c r="B157" s="503" t="s">
        <v>5664</v>
      </c>
      <c r="C157" s="504">
        <v>453458.12</v>
      </c>
      <c r="H157" s="398">
        <v>36945</v>
      </c>
      <c r="I157" s="398">
        <v>0</v>
      </c>
      <c r="N157" s="398">
        <v>8203715</v>
      </c>
      <c r="O157" s="398" t="s">
        <v>5686</v>
      </c>
      <c r="P157" s="505">
        <v>0</v>
      </c>
    </row>
    <row r="158" spans="1:16" ht="15.75" customHeight="1">
      <c r="A158" s="502" t="s">
        <v>1764</v>
      </c>
      <c r="B158" s="503" t="s">
        <v>5687</v>
      </c>
      <c r="C158" s="504">
        <v>453302.06</v>
      </c>
      <c r="H158" s="398">
        <v>32359</v>
      </c>
      <c r="I158" s="398">
        <v>0</v>
      </c>
      <c r="N158" s="398">
        <v>7519154</v>
      </c>
      <c r="O158" s="398" t="s">
        <v>5688</v>
      </c>
      <c r="P158" s="505">
        <v>0</v>
      </c>
    </row>
    <row r="159" spans="1:16" ht="15.75" customHeight="1">
      <c r="A159" s="502" t="s">
        <v>1293</v>
      </c>
      <c r="B159" s="503" t="s">
        <v>5597</v>
      </c>
      <c r="C159" s="504">
        <v>446189.6</v>
      </c>
      <c r="H159" s="398">
        <v>453188</v>
      </c>
      <c r="I159" s="505">
        <v>0</v>
      </c>
      <c r="N159" s="398">
        <v>4588112</v>
      </c>
      <c r="O159" s="398" t="s">
        <v>5689</v>
      </c>
      <c r="P159" s="505">
        <v>15529.4</v>
      </c>
    </row>
    <row r="160" spans="1:16" ht="15.75" customHeight="1">
      <c r="A160" s="502" t="s">
        <v>2444</v>
      </c>
      <c r="B160" s="503" t="s">
        <v>5690</v>
      </c>
      <c r="C160" s="504">
        <v>440655.46</v>
      </c>
      <c r="H160" s="398">
        <v>32067</v>
      </c>
      <c r="I160" s="505">
        <v>125.83</v>
      </c>
      <c r="N160" s="398">
        <v>2358079</v>
      </c>
      <c r="O160" s="398" t="s">
        <v>5691</v>
      </c>
      <c r="P160" s="505">
        <v>0</v>
      </c>
    </row>
    <row r="161" spans="1:16" ht="15.75" customHeight="1">
      <c r="A161" s="502" t="s">
        <v>1784</v>
      </c>
      <c r="B161" s="503" t="s">
        <v>5692</v>
      </c>
      <c r="C161" s="504">
        <v>440303.04</v>
      </c>
      <c r="H161" s="398">
        <v>367566</v>
      </c>
      <c r="I161" s="398">
        <v>0</v>
      </c>
      <c r="N161" s="398">
        <v>2897612</v>
      </c>
      <c r="O161" s="398" t="s">
        <v>5693</v>
      </c>
      <c r="P161" s="505">
        <v>966.74</v>
      </c>
    </row>
    <row r="162" spans="1:16" ht="15.75" customHeight="1">
      <c r="A162" s="502" t="s">
        <v>1847</v>
      </c>
      <c r="B162" s="503" t="s">
        <v>5694</v>
      </c>
      <c r="C162" s="504">
        <v>437077.7</v>
      </c>
      <c r="H162" s="398">
        <v>465880</v>
      </c>
      <c r="I162" s="398">
        <v>0</v>
      </c>
      <c r="N162" s="398">
        <v>6519491</v>
      </c>
      <c r="O162" s="398" t="s">
        <v>5695</v>
      </c>
      <c r="P162" s="505">
        <v>0</v>
      </c>
    </row>
    <row r="163" spans="1:16" ht="15.75" customHeight="1">
      <c r="A163" s="502" t="s">
        <v>1025</v>
      </c>
      <c r="B163" s="503" t="s">
        <v>5696</v>
      </c>
      <c r="C163" s="504">
        <v>434868.15</v>
      </c>
      <c r="H163" s="398">
        <v>74276</v>
      </c>
      <c r="I163" s="398">
        <v>0</v>
      </c>
      <c r="N163" s="398">
        <v>7519150</v>
      </c>
      <c r="O163" s="398" t="s">
        <v>5504</v>
      </c>
      <c r="P163" s="505">
        <v>0</v>
      </c>
    </row>
    <row r="164" spans="1:16" ht="15.75" customHeight="1">
      <c r="A164" s="502" t="s">
        <v>851</v>
      </c>
      <c r="B164" s="503" t="s">
        <v>5429</v>
      </c>
      <c r="C164" s="504">
        <v>428010.97</v>
      </c>
      <c r="H164" s="398">
        <v>344424</v>
      </c>
      <c r="I164" s="398">
        <v>0</v>
      </c>
      <c r="N164" s="398">
        <v>6866947</v>
      </c>
      <c r="O164" s="398" t="s">
        <v>5697</v>
      </c>
      <c r="P164" s="505">
        <v>0</v>
      </c>
    </row>
    <row r="165" spans="1:16" ht="15.75" customHeight="1">
      <c r="A165" s="502" t="s">
        <v>1460</v>
      </c>
      <c r="B165" s="503" t="s">
        <v>5503</v>
      </c>
      <c r="C165" s="504">
        <v>423775.8</v>
      </c>
      <c r="H165" s="398">
        <v>319435</v>
      </c>
      <c r="I165" s="398">
        <v>40.81</v>
      </c>
      <c r="N165" s="398">
        <v>4696943</v>
      </c>
      <c r="O165" s="398" t="s">
        <v>5698</v>
      </c>
      <c r="P165" s="505">
        <v>0</v>
      </c>
    </row>
    <row r="166" spans="1:16" ht="15.75" customHeight="1">
      <c r="A166" s="502" t="s">
        <v>194</v>
      </c>
      <c r="B166" s="503" t="s">
        <v>5637</v>
      </c>
      <c r="C166" s="504">
        <v>417842.94</v>
      </c>
      <c r="H166" s="398">
        <v>577357</v>
      </c>
      <c r="I166" s="398">
        <v>876.68</v>
      </c>
      <c r="N166" s="398">
        <v>4553905</v>
      </c>
      <c r="O166" s="398" t="s">
        <v>5699</v>
      </c>
      <c r="P166" s="505">
        <v>0</v>
      </c>
    </row>
    <row r="167" spans="1:16" ht="15.75" customHeight="1">
      <c r="A167" s="502" t="s">
        <v>602</v>
      </c>
      <c r="B167" s="503" t="s">
        <v>5457</v>
      </c>
      <c r="C167" s="504">
        <v>408466.18</v>
      </c>
      <c r="H167" s="398">
        <v>379728</v>
      </c>
      <c r="I167" s="505">
        <v>416695.03</v>
      </c>
      <c r="N167" s="398">
        <v>2602612</v>
      </c>
      <c r="O167" s="398" t="s">
        <v>5700</v>
      </c>
      <c r="P167" s="505">
        <v>0</v>
      </c>
    </row>
    <row r="168" spans="1:16" ht="15.75" customHeight="1">
      <c r="A168" s="502" t="s">
        <v>2724</v>
      </c>
      <c r="B168" s="503" t="s">
        <v>5701</v>
      </c>
      <c r="C168" s="504">
        <v>407747.79</v>
      </c>
      <c r="H168" s="398">
        <v>31954</v>
      </c>
      <c r="I168" s="398">
        <v>29.73</v>
      </c>
      <c r="N168" s="398">
        <v>7048589</v>
      </c>
      <c r="O168" s="398" t="s">
        <v>5702</v>
      </c>
      <c r="P168" s="505">
        <v>0</v>
      </c>
    </row>
    <row r="169" spans="1:16" ht="15.75" customHeight="1">
      <c r="A169" s="502" t="s">
        <v>1935</v>
      </c>
      <c r="B169" s="503" t="s">
        <v>5703</v>
      </c>
      <c r="C169" s="504">
        <v>405907.29</v>
      </c>
      <c r="H169" s="398">
        <v>559569</v>
      </c>
      <c r="I169" s="505">
        <v>3945.33</v>
      </c>
      <c r="N169" s="398">
        <v>8446035</v>
      </c>
      <c r="O169" s="398" t="s">
        <v>5704</v>
      </c>
      <c r="P169" s="505">
        <v>0</v>
      </c>
    </row>
    <row r="170" spans="1:16" ht="15.75" customHeight="1">
      <c r="A170" s="502" t="s">
        <v>178</v>
      </c>
      <c r="B170" s="503" t="s">
        <v>5705</v>
      </c>
      <c r="C170" s="504">
        <v>403875.48</v>
      </c>
      <c r="H170" s="398">
        <v>33814</v>
      </c>
      <c r="I170" s="505">
        <v>1433346.03</v>
      </c>
      <c r="N170" s="398">
        <v>6592638</v>
      </c>
      <c r="O170" s="398" t="s">
        <v>5706</v>
      </c>
      <c r="P170" s="505">
        <v>88224.19</v>
      </c>
    </row>
    <row r="171" spans="1:16" ht="15.75" customHeight="1">
      <c r="A171" s="502" t="s">
        <v>2620</v>
      </c>
      <c r="B171" s="503" t="s">
        <v>5707</v>
      </c>
      <c r="C171" s="504">
        <v>402778.16</v>
      </c>
      <c r="H171" s="398">
        <v>296589</v>
      </c>
      <c r="I171" s="505">
        <v>1093238.67</v>
      </c>
      <c r="N171" s="398">
        <v>9268978</v>
      </c>
      <c r="O171" s="398" t="s">
        <v>5708</v>
      </c>
      <c r="P171" s="505">
        <v>0</v>
      </c>
    </row>
    <row r="172" spans="1:16" ht="15.75" customHeight="1">
      <c r="A172" s="502" t="s">
        <v>1761</v>
      </c>
      <c r="B172" s="503" t="s">
        <v>5709</v>
      </c>
      <c r="C172" s="504">
        <v>402084.16</v>
      </c>
      <c r="H172" s="398">
        <v>376731</v>
      </c>
      <c r="I172" s="505">
        <v>225484.74</v>
      </c>
      <c r="N172" s="398">
        <v>2503816</v>
      </c>
      <c r="O172" s="398" t="s">
        <v>5553</v>
      </c>
      <c r="P172" s="505">
        <v>19970.5</v>
      </c>
    </row>
    <row r="173" spans="1:16" ht="15.75" customHeight="1">
      <c r="A173" s="502" t="s">
        <v>1250</v>
      </c>
      <c r="B173" s="503" t="s">
        <v>5501</v>
      </c>
      <c r="C173" s="504">
        <v>397800.72</v>
      </c>
      <c r="H173" s="398">
        <v>253486</v>
      </c>
      <c r="I173" s="398">
        <v>408.01</v>
      </c>
      <c r="N173" s="398">
        <v>9020656</v>
      </c>
      <c r="O173" s="398" t="s">
        <v>5710</v>
      </c>
      <c r="P173" s="505">
        <v>0</v>
      </c>
    </row>
    <row r="174" spans="1:16" ht="15.75" customHeight="1">
      <c r="A174" s="502" t="s">
        <v>1281</v>
      </c>
      <c r="B174" s="503" t="s">
        <v>5597</v>
      </c>
      <c r="C174" s="504">
        <v>397750.63</v>
      </c>
      <c r="H174" s="398">
        <v>35132</v>
      </c>
      <c r="I174" s="398">
        <v>397.51</v>
      </c>
      <c r="N174" s="398">
        <v>4695301</v>
      </c>
      <c r="O174" s="398" t="s">
        <v>5711</v>
      </c>
      <c r="P174" s="505">
        <v>0</v>
      </c>
    </row>
    <row r="175" spans="1:16" ht="15.75" customHeight="1">
      <c r="A175" s="502" t="s">
        <v>2843</v>
      </c>
      <c r="B175" s="503" t="s">
        <v>5712</v>
      </c>
      <c r="C175" s="504">
        <v>396395.14</v>
      </c>
      <c r="H175" s="398">
        <v>378873</v>
      </c>
      <c r="I175" s="505">
        <v>7266.28</v>
      </c>
      <c r="N175" s="398">
        <v>5182986</v>
      </c>
      <c r="O175" s="398" t="s">
        <v>5713</v>
      </c>
      <c r="P175" s="505">
        <v>0</v>
      </c>
    </row>
    <row r="176" spans="1:16" ht="15.75" customHeight="1">
      <c r="A176" s="502" t="s">
        <v>1844</v>
      </c>
      <c r="B176" s="503" t="s">
        <v>5714</v>
      </c>
      <c r="C176" s="504">
        <v>388035.76</v>
      </c>
      <c r="H176" s="398">
        <v>378997</v>
      </c>
      <c r="I176" s="505">
        <v>79455.28</v>
      </c>
      <c r="N176" s="398">
        <v>7012555</v>
      </c>
      <c r="O176" s="398" t="s">
        <v>5688</v>
      </c>
      <c r="P176" s="505">
        <v>0</v>
      </c>
    </row>
    <row r="177" spans="1:16" ht="15.75" customHeight="1">
      <c r="A177" s="502" t="s">
        <v>2552</v>
      </c>
      <c r="B177" s="503" t="s">
        <v>5622</v>
      </c>
      <c r="C177" s="504">
        <v>382410.6</v>
      </c>
      <c r="H177" s="398">
        <v>48619</v>
      </c>
      <c r="I177" s="398">
        <v>0</v>
      </c>
      <c r="N177" s="398">
        <v>4587723</v>
      </c>
      <c r="O177" s="398" t="s">
        <v>5632</v>
      </c>
      <c r="P177" s="505">
        <v>0</v>
      </c>
    </row>
    <row r="178" spans="1:16" ht="15.75" customHeight="1">
      <c r="A178" s="502" t="s">
        <v>1213</v>
      </c>
      <c r="B178" s="503" t="s">
        <v>5715</v>
      </c>
      <c r="C178" s="504">
        <v>381111.83</v>
      </c>
      <c r="H178" s="398">
        <v>85179</v>
      </c>
      <c r="I178" s="398">
        <v>0</v>
      </c>
      <c r="N178" s="398">
        <v>260123</v>
      </c>
      <c r="O178" s="398" t="s">
        <v>5716</v>
      </c>
      <c r="P178" s="505">
        <v>0</v>
      </c>
    </row>
    <row r="179" spans="1:16" ht="15.75" customHeight="1">
      <c r="A179" s="502" t="s">
        <v>2470</v>
      </c>
      <c r="B179" s="503" t="s">
        <v>5717</v>
      </c>
      <c r="C179" s="504">
        <v>380232.37</v>
      </c>
      <c r="H179" s="398">
        <v>334022</v>
      </c>
      <c r="I179" s="398">
        <v>0</v>
      </c>
      <c r="N179" s="398">
        <v>5958737</v>
      </c>
      <c r="O179" s="398" t="s">
        <v>5718</v>
      </c>
      <c r="P179" s="505">
        <v>0</v>
      </c>
    </row>
    <row r="180" spans="1:16" ht="15.75" customHeight="1">
      <c r="A180" s="502" t="s">
        <v>2221</v>
      </c>
      <c r="B180" s="503" t="s">
        <v>5580</v>
      </c>
      <c r="C180" s="504">
        <v>379843.33</v>
      </c>
      <c r="H180" s="398">
        <v>338425</v>
      </c>
      <c r="I180" s="398">
        <v>197.39</v>
      </c>
      <c r="N180" s="398">
        <v>218909</v>
      </c>
      <c r="O180" s="398" t="s">
        <v>5719</v>
      </c>
      <c r="P180" s="505">
        <v>0</v>
      </c>
    </row>
    <row r="181" spans="1:16" ht="15.75" customHeight="1">
      <c r="A181" s="502" t="s">
        <v>2382</v>
      </c>
      <c r="B181" s="503" t="s">
        <v>5437</v>
      </c>
      <c r="C181" s="504">
        <v>379141.05</v>
      </c>
      <c r="H181" s="398">
        <v>450254</v>
      </c>
      <c r="I181" s="398">
        <v>0</v>
      </c>
      <c r="N181" s="398">
        <v>8039639</v>
      </c>
      <c r="O181" s="398" t="s">
        <v>5720</v>
      </c>
      <c r="P181" s="505">
        <v>0</v>
      </c>
    </row>
    <row r="182" spans="1:16" ht="15.75" customHeight="1">
      <c r="A182" s="502" t="s">
        <v>580</v>
      </c>
      <c r="B182" s="503" t="s">
        <v>5457</v>
      </c>
      <c r="C182" s="504">
        <v>376545.71</v>
      </c>
      <c r="H182" s="398">
        <v>362762</v>
      </c>
      <c r="I182" s="398">
        <v>0</v>
      </c>
      <c r="N182" s="398">
        <v>396107</v>
      </c>
      <c r="O182" s="398" t="s">
        <v>5721</v>
      </c>
      <c r="P182" s="505">
        <v>81715.48</v>
      </c>
    </row>
    <row r="183" spans="1:16" ht="15.75" customHeight="1">
      <c r="A183" s="502" t="s">
        <v>188</v>
      </c>
      <c r="B183" s="503" t="s">
        <v>5637</v>
      </c>
      <c r="C183" s="504">
        <v>376161.85</v>
      </c>
      <c r="H183" s="398">
        <v>45860</v>
      </c>
      <c r="I183" s="398">
        <v>0</v>
      </c>
      <c r="N183" s="398">
        <v>2009210</v>
      </c>
      <c r="O183" s="398" t="s">
        <v>5722</v>
      </c>
      <c r="P183" s="505">
        <v>193722.32</v>
      </c>
    </row>
    <row r="184" spans="1:16" ht="15.75" customHeight="1">
      <c r="A184" s="502" t="s">
        <v>994</v>
      </c>
      <c r="B184" s="503" t="s">
        <v>5723</v>
      </c>
      <c r="C184" s="504">
        <v>373334.66</v>
      </c>
      <c r="H184" s="398">
        <v>445690</v>
      </c>
      <c r="I184" s="505">
        <v>4352.57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1104</v>
      </c>
      <c r="B185" s="503" t="s">
        <v>5725</v>
      </c>
      <c r="C185" s="504">
        <v>371675.71</v>
      </c>
      <c r="H185" s="398">
        <v>86748</v>
      </c>
      <c r="I185" s="505">
        <v>93998.63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1201</v>
      </c>
      <c r="B186" s="503" t="s">
        <v>5727</v>
      </c>
      <c r="C186" s="504">
        <v>370230.5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819</v>
      </c>
      <c r="B187" s="503" t="s">
        <v>5729</v>
      </c>
      <c r="C187" s="504">
        <v>368925.77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636</v>
      </c>
      <c r="B188" s="503" t="s">
        <v>5731</v>
      </c>
      <c r="C188" s="504">
        <v>365441.28000000003</v>
      </c>
      <c r="H188" s="398">
        <v>453470</v>
      </c>
      <c r="I188" s="398">
        <v>0</v>
      </c>
      <c r="N188" s="398">
        <v>2004579</v>
      </c>
      <c r="O188" s="398" t="s">
        <v>5685</v>
      </c>
      <c r="P188" s="505">
        <v>21729.06</v>
      </c>
    </row>
    <row r="189" spans="1:16" ht="15.75" customHeight="1">
      <c r="A189" s="502" t="s">
        <v>2783</v>
      </c>
      <c r="B189" s="503" t="s">
        <v>5732</v>
      </c>
      <c r="C189" s="504">
        <v>356357.06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1754</v>
      </c>
      <c r="B190" s="503" t="s">
        <v>5734</v>
      </c>
      <c r="C190" s="504">
        <v>354068.47</v>
      </c>
      <c r="H190" s="398">
        <v>343714</v>
      </c>
      <c r="I190" s="398">
        <v>0</v>
      </c>
      <c r="N190" s="398">
        <v>4679169</v>
      </c>
      <c r="O190" s="398" t="s">
        <v>5436</v>
      </c>
      <c r="P190" s="505">
        <v>0</v>
      </c>
    </row>
    <row r="191" spans="1:16" ht="15.75" customHeight="1">
      <c r="A191" s="502" t="s">
        <v>816</v>
      </c>
      <c r="B191" s="503" t="s">
        <v>5735</v>
      </c>
      <c r="C191" s="504">
        <v>353826.69</v>
      </c>
      <c r="H191" s="398">
        <v>459540</v>
      </c>
      <c r="I191" s="398">
        <v>0</v>
      </c>
      <c r="N191" s="398">
        <v>5975647</v>
      </c>
      <c r="O191" s="398" t="s">
        <v>5736</v>
      </c>
      <c r="P191" s="505">
        <v>0</v>
      </c>
    </row>
    <row r="192" spans="1:16" ht="15.75" customHeight="1">
      <c r="A192" s="502" t="s">
        <v>1706</v>
      </c>
      <c r="B192" s="503" t="s">
        <v>5737</v>
      </c>
      <c r="C192" s="504">
        <v>353670.17</v>
      </c>
      <c r="H192" s="398">
        <v>34113</v>
      </c>
      <c r="I192" s="505">
        <v>123727.78</v>
      </c>
      <c r="N192" s="398">
        <v>3360893</v>
      </c>
      <c r="O192" s="398" t="s">
        <v>5738</v>
      </c>
      <c r="P192" s="505">
        <v>0</v>
      </c>
    </row>
    <row r="193" spans="1:16" ht="15.75" customHeight="1">
      <c r="A193" s="502" t="s">
        <v>665</v>
      </c>
      <c r="B193" s="503" t="s">
        <v>5739</v>
      </c>
      <c r="C193" s="504">
        <v>350416.49</v>
      </c>
      <c r="H193" s="398">
        <v>32948</v>
      </c>
      <c r="I193" s="505">
        <v>624828.09</v>
      </c>
      <c r="N193" s="398">
        <v>4556454</v>
      </c>
      <c r="O193" s="398" t="s">
        <v>5740</v>
      </c>
      <c r="P193" s="505">
        <v>0</v>
      </c>
    </row>
    <row r="194" spans="1:16" ht="15.75" customHeight="1">
      <c r="A194" s="502" t="s">
        <v>1352</v>
      </c>
      <c r="B194" s="503" t="s">
        <v>5741</v>
      </c>
      <c r="C194" s="504">
        <v>350148.3</v>
      </c>
      <c r="H194" s="398">
        <v>738272</v>
      </c>
      <c r="I194" s="505">
        <v>59289.98</v>
      </c>
      <c r="N194" s="398">
        <v>5146477</v>
      </c>
      <c r="O194" s="398" t="s">
        <v>5742</v>
      </c>
      <c r="P194" s="505">
        <v>23752.55</v>
      </c>
    </row>
    <row r="195" spans="1:16" ht="15.75" customHeight="1">
      <c r="A195" s="502" t="s">
        <v>2291</v>
      </c>
      <c r="B195" s="503" t="s">
        <v>5516</v>
      </c>
      <c r="C195" s="504">
        <v>349608.55</v>
      </c>
      <c r="H195" s="398">
        <v>32311</v>
      </c>
      <c r="I195" s="398">
        <v>0</v>
      </c>
      <c r="N195" s="398">
        <v>4695581</v>
      </c>
      <c r="O195" s="398" t="s">
        <v>5743</v>
      </c>
      <c r="P195" s="505">
        <v>0</v>
      </c>
    </row>
    <row r="196" spans="1:16" ht="15.75" customHeight="1">
      <c r="A196" s="502" t="s">
        <v>887</v>
      </c>
      <c r="B196" s="503" t="s">
        <v>5744</v>
      </c>
      <c r="C196" s="504">
        <v>348205.69</v>
      </c>
      <c r="H196" s="398">
        <v>476032</v>
      </c>
      <c r="I196" s="398">
        <v>0</v>
      </c>
      <c r="N196" s="398">
        <v>3403198</v>
      </c>
      <c r="O196" s="398" t="s">
        <v>5745</v>
      </c>
      <c r="P196" s="505">
        <v>0</v>
      </c>
    </row>
    <row r="197" spans="1:16" ht="15.75" customHeight="1">
      <c r="A197" s="502" t="s">
        <v>260</v>
      </c>
      <c r="B197" s="503" t="s">
        <v>5746</v>
      </c>
      <c r="C197" s="504">
        <v>345606.98</v>
      </c>
      <c r="H197" s="398">
        <v>32250</v>
      </c>
      <c r="I197" s="398">
        <v>0</v>
      </c>
      <c r="N197" s="398">
        <v>2694253</v>
      </c>
      <c r="O197" s="398" t="s">
        <v>5747</v>
      </c>
      <c r="P197" s="505">
        <v>564364.79</v>
      </c>
    </row>
    <row r="198" spans="1:16" ht="15.75" customHeight="1">
      <c r="A198" s="502" t="s">
        <v>1407</v>
      </c>
      <c r="B198" s="503" t="s">
        <v>5748</v>
      </c>
      <c r="C198" s="504">
        <v>334870.12</v>
      </c>
      <c r="H198" s="398">
        <v>559843</v>
      </c>
      <c r="I198" s="398">
        <v>17.97</v>
      </c>
      <c r="N198" s="398">
        <v>4437315</v>
      </c>
      <c r="O198" s="398" t="s">
        <v>5749</v>
      </c>
      <c r="P198" s="505">
        <v>0</v>
      </c>
    </row>
    <row r="199" spans="1:16" ht="15.75" customHeight="1">
      <c r="A199" s="502" t="s">
        <v>1559</v>
      </c>
      <c r="B199" s="503" t="s">
        <v>5750</v>
      </c>
      <c r="C199" s="504">
        <v>328510.19</v>
      </c>
      <c r="H199" s="398">
        <v>434160</v>
      </c>
      <c r="I199" s="398">
        <v>0</v>
      </c>
      <c r="N199" s="398">
        <v>6604192</v>
      </c>
      <c r="O199" s="398" t="s">
        <v>5751</v>
      </c>
      <c r="P199" s="505">
        <v>0</v>
      </c>
    </row>
    <row r="200" spans="1:16" ht="15.75" customHeight="1">
      <c r="A200" s="502" t="s">
        <v>2486</v>
      </c>
      <c r="B200" s="503" t="s">
        <v>5497</v>
      </c>
      <c r="C200" s="504">
        <v>326849.33</v>
      </c>
      <c r="H200" s="398">
        <v>87493</v>
      </c>
      <c r="I200" s="505">
        <v>84779.37</v>
      </c>
      <c r="N200" s="398">
        <v>1000249</v>
      </c>
      <c r="O200" s="398" t="s">
        <v>5752</v>
      </c>
      <c r="P200" s="505">
        <v>0</v>
      </c>
    </row>
    <row r="201" spans="1:16" ht="15.75" customHeight="1">
      <c r="A201" s="502" t="s">
        <v>599</v>
      </c>
      <c r="B201" s="503" t="s">
        <v>5457</v>
      </c>
      <c r="C201" s="504">
        <v>322538.71000000002</v>
      </c>
      <c r="H201" s="398">
        <v>459393</v>
      </c>
      <c r="I201" s="398">
        <v>0</v>
      </c>
      <c r="N201" s="398">
        <v>4616618</v>
      </c>
      <c r="O201" s="398" t="s">
        <v>5556</v>
      </c>
      <c r="P201" s="505">
        <v>0</v>
      </c>
    </row>
    <row r="202" spans="1:16" ht="15.75" customHeight="1">
      <c r="A202" s="502" t="s">
        <v>1019</v>
      </c>
      <c r="B202" s="503" t="s">
        <v>5753</v>
      </c>
      <c r="C202" s="504">
        <v>321208.27</v>
      </c>
      <c r="H202" s="398">
        <v>612431</v>
      </c>
      <c r="I202" s="398">
        <v>0</v>
      </c>
      <c r="N202" s="398">
        <v>4367434</v>
      </c>
      <c r="O202" s="398" t="s">
        <v>5754</v>
      </c>
      <c r="P202" s="505">
        <v>0</v>
      </c>
    </row>
    <row r="203" spans="1:16" ht="15.75" customHeight="1">
      <c r="A203" s="502" t="s">
        <v>640</v>
      </c>
      <c r="B203" s="503" t="s">
        <v>5755</v>
      </c>
      <c r="C203" s="504">
        <v>320333.44</v>
      </c>
      <c r="H203" s="398">
        <v>38387</v>
      </c>
      <c r="I203" s="398">
        <v>0</v>
      </c>
      <c r="N203" s="398">
        <v>7988957</v>
      </c>
      <c r="O203" s="398" t="s">
        <v>5756</v>
      </c>
      <c r="P203" s="505">
        <v>0</v>
      </c>
    </row>
    <row r="204" spans="1:16" ht="15.75" customHeight="1">
      <c r="A204" s="502" t="s">
        <v>1916</v>
      </c>
      <c r="B204" s="503" t="s">
        <v>5483</v>
      </c>
      <c r="C204" s="504">
        <v>319186.18</v>
      </c>
      <c r="H204" s="398">
        <v>85872</v>
      </c>
      <c r="I204" s="398">
        <v>0</v>
      </c>
      <c r="N204" s="398">
        <v>8089465</v>
      </c>
      <c r="O204" s="398" t="s">
        <v>5757</v>
      </c>
      <c r="P204" s="505">
        <v>0</v>
      </c>
    </row>
    <row r="205" spans="1:16" ht="15.75" customHeight="1">
      <c r="A205" s="502" t="s">
        <v>589</v>
      </c>
      <c r="B205" s="503" t="s">
        <v>5457</v>
      </c>
      <c r="C205" s="504">
        <v>312559.21000000002</v>
      </c>
      <c r="H205" s="398">
        <v>438274</v>
      </c>
      <c r="I205" s="398">
        <v>0</v>
      </c>
      <c r="N205" s="398">
        <v>96891</v>
      </c>
      <c r="O205" s="398" t="s">
        <v>5504</v>
      </c>
      <c r="P205" s="505">
        <v>0</v>
      </c>
    </row>
    <row r="206" spans="1:16" ht="15.75" customHeight="1">
      <c r="A206" s="502" t="s">
        <v>609</v>
      </c>
      <c r="B206" s="503" t="s">
        <v>5457</v>
      </c>
      <c r="C206" s="504">
        <v>312485.98</v>
      </c>
      <c r="H206" s="398">
        <v>370249</v>
      </c>
      <c r="I206" s="505">
        <v>173662.14</v>
      </c>
      <c r="N206" s="398">
        <v>3643555</v>
      </c>
      <c r="O206" s="398" t="s">
        <v>5758</v>
      </c>
      <c r="P206" s="505">
        <v>0</v>
      </c>
    </row>
    <row r="207" spans="1:16" ht="15.75" customHeight="1">
      <c r="A207" s="502" t="s">
        <v>2176</v>
      </c>
      <c r="B207" s="503" t="s">
        <v>5759</v>
      </c>
      <c r="C207" s="504">
        <v>312294.09000000003</v>
      </c>
      <c r="H207" s="398">
        <v>81772</v>
      </c>
      <c r="I207" s="398">
        <v>0</v>
      </c>
      <c r="N207" s="398">
        <v>43315</v>
      </c>
      <c r="O207" s="398" t="s">
        <v>5760</v>
      </c>
      <c r="P207" s="505">
        <v>0</v>
      </c>
    </row>
    <row r="208" spans="1:16" ht="15.75" customHeight="1">
      <c r="A208" s="502" t="s">
        <v>445</v>
      </c>
      <c r="B208" s="503" t="s">
        <v>5761</v>
      </c>
      <c r="C208" s="504">
        <v>311056.34999999998</v>
      </c>
      <c r="H208" s="398">
        <v>31787</v>
      </c>
      <c r="I208" s="398">
        <v>0</v>
      </c>
      <c r="N208" s="398">
        <v>4551730</v>
      </c>
      <c r="O208" s="398" t="s">
        <v>5762</v>
      </c>
      <c r="P208" s="505">
        <v>0</v>
      </c>
    </row>
    <row r="209" spans="1:16" ht="15.75" customHeight="1">
      <c r="A209" s="502" t="s">
        <v>2758</v>
      </c>
      <c r="B209" s="503" t="s">
        <v>5763</v>
      </c>
      <c r="C209" s="504">
        <v>310847.81</v>
      </c>
      <c r="H209" s="398">
        <v>86818</v>
      </c>
      <c r="I209" s="505">
        <v>130518.04</v>
      </c>
      <c r="N209" s="398">
        <v>3318900</v>
      </c>
      <c r="O209" s="398" t="s">
        <v>5764</v>
      </c>
      <c r="P209" s="505">
        <v>0</v>
      </c>
    </row>
    <row r="210" spans="1:16" ht="15.75" customHeight="1">
      <c r="A210" s="502" t="s">
        <v>761</v>
      </c>
      <c r="B210" s="503" t="s">
        <v>5765</v>
      </c>
      <c r="C210" s="504">
        <v>310294.38</v>
      </c>
      <c r="H210" s="398">
        <v>440078</v>
      </c>
      <c r="I210" s="398">
        <v>0</v>
      </c>
      <c r="N210" s="398">
        <v>5167097</v>
      </c>
      <c r="O210" s="398" t="s">
        <v>5766</v>
      </c>
      <c r="P210" s="505">
        <v>0</v>
      </c>
    </row>
    <row r="211" spans="1:16" ht="15.75" customHeight="1">
      <c r="A211" s="502" t="s">
        <v>1314</v>
      </c>
      <c r="B211" s="503" t="s">
        <v>5554</v>
      </c>
      <c r="C211" s="504">
        <v>309248.15000000002</v>
      </c>
      <c r="H211" s="398">
        <v>88816</v>
      </c>
      <c r="I211" s="398">
        <v>177.64</v>
      </c>
      <c r="N211" s="398">
        <v>4899222</v>
      </c>
      <c r="O211" s="398" t="s">
        <v>5767</v>
      </c>
      <c r="P211" s="505">
        <v>2841.49</v>
      </c>
    </row>
    <row r="212" spans="1:16" ht="15.75" customHeight="1">
      <c r="A212" s="502" t="s">
        <v>1875</v>
      </c>
      <c r="B212" s="503" t="s">
        <v>5510</v>
      </c>
      <c r="C212" s="504">
        <v>308129.32</v>
      </c>
      <c r="H212" s="398">
        <v>32407</v>
      </c>
      <c r="I212" s="398">
        <v>0</v>
      </c>
      <c r="N212" s="398">
        <v>490973</v>
      </c>
      <c r="O212" s="398" t="s">
        <v>5768</v>
      </c>
      <c r="P212" s="505">
        <v>0</v>
      </c>
    </row>
    <row r="213" spans="1:16" ht="15.75" customHeight="1">
      <c r="A213" s="502" t="s">
        <v>1468</v>
      </c>
      <c r="B213" s="503" t="s">
        <v>5459</v>
      </c>
      <c r="C213" s="504">
        <v>302753.2</v>
      </c>
      <c r="H213" s="398">
        <v>582421</v>
      </c>
      <c r="I213" s="398">
        <v>0</v>
      </c>
      <c r="N213" s="398">
        <v>3445098</v>
      </c>
      <c r="O213" s="398" t="s">
        <v>5769</v>
      </c>
      <c r="P213" s="505">
        <v>0</v>
      </c>
    </row>
    <row r="214" spans="1:16" ht="15.75" customHeight="1">
      <c r="A214" s="502" t="s">
        <v>2513</v>
      </c>
      <c r="B214" s="503" t="s">
        <v>5770</v>
      </c>
      <c r="C214" s="504">
        <v>302268.76</v>
      </c>
      <c r="H214" s="398">
        <v>358322</v>
      </c>
      <c r="I214" s="398">
        <v>0</v>
      </c>
      <c r="N214" s="398">
        <v>7336791</v>
      </c>
      <c r="O214" s="398" t="s">
        <v>5771</v>
      </c>
      <c r="P214" s="505">
        <v>0</v>
      </c>
    </row>
    <row r="215" spans="1:16" ht="15.75" customHeight="1">
      <c r="A215" s="502" t="s">
        <v>1358</v>
      </c>
      <c r="B215" s="503" t="s">
        <v>5772</v>
      </c>
      <c r="C215" s="504">
        <v>302035.09000000003</v>
      </c>
      <c r="H215" s="398">
        <v>47922</v>
      </c>
      <c r="I215" s="398">
        <v>0</v>
      </c>
      <c r="N215" s="398">
        <v>3848682</v>
      </c>
      <c r="O215" s="398" t="s">
        <v>5469</v>
      </c>
      <c r="P215" s="505">
        <v>0</v>
      </c>
    </row>
    <row r="216" spans="1:16" ht="15.75" customHeight="1">
      <c r="A216" s="502" t="s">
        <v>1345</v>
      </c>
      <c r="B216" s="503" t="s">
        <v>5773</v>
      </c>
      <c r="C216" s="504">
        <v>300714.52</v>
      </c>
      <c r="H216" s="398">
        <v>577392</v>
      </c>
      <c r="I216" s="398">
        <v>0</v>
      </c>
      <c r="N216" s="398">
        <v>8088158</v>
      </c>
      <c r="O216" s="398" t="s">
        <v>5665</v>
      </c>
      <c r="P216" s="505">
        <v>0</v>
      </c>
    </row>
    <row r="217" spans="1:16" ht="15.75" customHeight="1">
      <c r="A217" s="502" t="s">
        <v>1898</v>
      </c>
      <c r="B217" s="503" t="s">
        <v>5774</v>
      </c>
      <c r="C217" s="504">
        <v>299752.71000000002</v>
      </c>
      <c r="H217" s="398">
        <v>384538</v>
      </c>
      <c r="I217" s="505">
        <v>79214.100000000006</v>
      </c>
      <c r="N217" s="398">
        <v>508722</v>
      </c>
      <c r="O217" s="398" t="s">
        <v>5775</v>
      </c>
      <c r="P217" s="505">
        <v>0</v>
      </c>
    </row>
    <row r="218" spans="1:16" ht="15.75" customHeight="1">
      <c r="A218" s="502" t="s">
        <v>560</v>
      </c>
      <c r="B218" s="503" t="s">
        <v>5776</v>
      </c>
      <c r="C218" s="504">
        <v>297045.55</v>
      </c>
      <c r="H218" s="398">
        <v>576246</v>
      </c>
      <c r="I218" s="398">
        <v>0</v>
      </c>
      <c r="N218" s="398">
        <v>6000381</v>
      </c>
      <c r="O218" s="398" t="s">
        <v>5777</v>
      </c>
      <c r="P218" s="505">
        <v>0</v>
      </c>
    </row>
    <row r="219" spans="1:16" ht="15.75" customHeight="1">
      <c r="A219" s="502" t="s">
        <v>2675</v>
      </c>
      <c r="B219" s="503" t="s">
        <v>5670</v>
      </c>
      <c r="C219" s="504">
        <v>296634.46999999997</v>
      </c>
      <c r="H219" s="398">
        <v>557385</v>
      </c>
      <c r="I219" s="398">
        <v>0</v>
      </c>
      <c r="N219" s="398">
        <v>7046433</v>
      </c>
      <c r="O219" s="398" t="s">
        <v>5537</v>
      </c>
      <c r="P219" s="505">
        <v>0</v>
      </c>
    </row>
    <row r="220" spans="1:16" ht="15.75" customHeight="1">
      <c r="A220" s="502" t="s">
        <v>2116</v>
      </c>
      <c r="B220" s="503" t="s">
        <v>5507</v>
      </c>
      <c r="C220" s="504">
        <v>295705.81</v>
      </c>
      <c r="H220" s="398">
        <v>379727</v>
      </c>
      <c r="I220" s="505">
        <v>301843.95</v>
      </c>
      <c r="N220" s="398">
        <v>5635853</v>
      </c>
      <c r="O220" s="398" t="s">
        <v>5778</v>
      </c>
      <c r="P220" s="505">
        <v>0</v>
      </c>
    </row>
    <row r="221" spans="1:16" ht="15.75" customHeight="1">
      <c r="A221" s="502" t="s">
        <v>860</v>
      </c>
      <c r="B221" s="503" t="s">
        <v>5779</v>
      </c>
      <c r="C221" s="504">
        <v>291634.36</v>
      </c>
      <c r="H221" s="398">
        <v>46143</v>
      </c>
      <c r="I221" s="505">
        <v>1250.83</v>
      </c>
      <c r="N221" s="398">
        <v>4423520</v>
      </c>
      <c r="O221" s="398" t="s">
        <v>5780</v>
      </c>
      <c r="P221" s="505">
        <v>1116.51</v>
      </c>
    </row>
    <row r="222" spans="1:16" ht="15.75" customHeight="1">
      <c r="A222" s="502" t="s">
        <v>472</v>
      </c>
      <c r="B222" s="503" t="s">
        <v>5781</v>
      </c>
      <c r="C222" s="504">
        <v>290325.36</v>
      </c>
      <c r="H222" s="398">
        <v>443359</v>
      </c>
      <c r="I222" s="398">
        <v>0</v>
      </c>
      <c r="N222" s="398">
        <v>4537910</v>
      </c>
      <c r="O222" s="398" t="s">
        <v>5782</v>
      </c>
      <c r="P222" s="505">
        <v>0</v>
      </c>
    </row>
    <row r="223" spans="1:16" ht="15.75" customHeight="1">
      <c r="A223" s="502" t="s">
        <v>2088</v>
      </c>
      <c r="B223" s="503" t="s">
        <v>5783</v>
      </c>
      <c r="C223" s="504">
        <v>290031.76</v>
      </c>
      <c r="H223" s="398">
        <v>478832</v>
      </c>
      <c r="I223" s="505">
        <v>3318.3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1123</v>
      </c>
      <c r="B224" s="503" t="s">
        <v>5785</v>
      </c>
      <c r="C224" s="504">
        <v>286430.96999999997</v>
      </c>
      <c r="N224" s="398">
        <v>6879934</v>
      </c>
      <c r="O224" s="398" t="s">
        <v>5786</v>
      </c>
      <c r="P224" s="505">
        <v>139.02000000000001</v>
      </c>
    </row>
    <row r="225" spans="1:16" ht="15.75" customHeight="1">
      <c r="A225" s="502" t="s">
        <v>5787</v>
      </c>
      <c r="B225" s="503" t="s">
        <v>5788</v>
      </c>
      <c r="C225" s="504">
        <v>283875.59000000003</v>
      </c>
      <c r="N225" s="398">
        <v>8424056</v>
      </c>
      <c r="O225" s="398" t="s">
        <v>5789</v>
      </c>
      <c r="P225" s="505">
        <v>-5.2</v>
      </c>
    </row>
    <row r="226" spans="1:16" ht="15.75" customHeight="1">
      <c r="A226" s="502" t="s">
        <v>2301</v>
      </c>
      <c r="B226" s="503" t="s">
        <v>5516</v>
      </c>
      <c r="C226" s="504">
        <v>280256.56</v>
      </c>
      <c r="N226" s="398">
        <v>8688674</v>
      </c>
      <c r="O226" s="398" t="s">
        <v>5572</v>
      </c>
      <c r="P226" s="505">
        <v>0</v>
      </c>
    </row>
    <row r="227" spans="1:16" ht="15.75" customHeight="1">
      <c r="A227" s="502" t="s">
        <v>1095</v>
      </c>
      <c r="B227" s="503" t="s">
        <v>5725</v>
      </c>
      <c r="C227" s="504">
        <v>279480.48</v>
      </c>
      <c r="N227" s="398">
        <v>2749522</v>
      </c>
      <c r="O227" s="398" t="s">
        <v>5790</v>
      </c>
      <c r="P227" s="505">
        <v>811595.93</v>
      </c>
    </row>
    <row r="228" spans="1:16" ht="15.75" customHeight="1">
      <c r="A228" s="502" t="s">
        <v>521</v>
      </c>
      <c r="B228" s="503" t="s">
        <v>5445</v>
      </c>
      <c r="C228" s="504">
        <v>278988.11</v>
      </c>
      <c r="N228" s="398">
        <v>2566765</v>
      </c>
      <c r="O228" s="398" t="s">
        <v>5791</v>
      </c>
      <c r="P228" s="505">
        <v>0</v>
      </c>
    </row>
    <row r="229" spans="1:16" ht="15.75" customHeight="1">
      <c r="A229" s="502" t="s">
        <v>1042</v>
      </c>
      <c r="B229" s="503" t="s">
        <v>5792</v>
      </c>
      <c r="C229" s="504">
        <v>278158.36</v>
      </c>
      <c r="N229" s="398">
        <v>7998263</v>
      </c>
      <c r="O229" s="398" t="s">
        <v>5793</v>
      </c>
      <c r="P229" s="505">
        <v>0</v>
      </c>
    </row>
    <row r="230" spans="1:16" ht="15.75" customHeight="1">
      <c r="A230" s="502" t="s">
        <v>547</v>
      </c>
      <c r="B230" s="503" t="s">
        <v>5643</v>
      </c>
      <c r="C230" s="504">
        <v>276078.3</v>
      </c>
      <c r="N230" s="398">
        <v>5947460</v>
      </c>
      <c r="O230" s="398" t="s">
        <v>5794</v>
      </c>
      <c r="P230" s="505">
        <v>0</v>
      </c>
    </row>
    <row r="231" spans="1:16" ht="15.75" customHeight="1">
      <c r="A231" s="502" t="s">
        <v>433</v>
      </c>
      <c r="B231" s="503" t="s">
        <v>5795</v>
      </c>
      <c r="C231" s="504">
        <v>273868.88</v>
      </c>
      <c r="N231" s="398">
        <v>2049496</v>
      </c>
      <c r="O231" s="398" t="s">
        <v>5796</v>
      </c>
      <c r="P231" s="505">
        <v>40645.410000000003</v>
      </c>
    </row>
    <row r="232" spans="1:16" ht="15.75" customHeight="1">
      <c r="A232" s="502" t="s">
        <v>629</v>
      </c>
      <c r="B232" s="503" t="s">
        <v>5797</v>
      </c>
      <c r="C232" s="504">
        <v>272085.83</v>
      </c>
      <c r="N232" s="398">
        <v>2545354</v>
      </c>
      <c r="O232" s="398" t="s">
        <v>5798</v>
      </c>
      <c r="P232" s="505">
        <v>0</v>
      </c>
    </row>
    <row r="233" spans="1:16" ht="15.75" customHeight="1">
      <c r="A233" s="502" t="s">
        <v>1364</v>
      </c>
      <c r="B233" s="503" t="s">
        <v>5799</v>
      </c>
      <c r="C233" s="504">
        <v>271316.7</v>
      </c>
      <c r="N233" s="398">
        <v>4441469</v>
      </c>
      <c r="O233" s="398" t="s">
        <v>5800</v>
      </c>
      <c r="P233" s="505">
        <v>0</v>
      </c>
    </row>
    <row r="234" spans="1:16" ht="15.75" customHeight="1">
      <c r="A234" s="502" t="s">
        <v>1645</v>
      </c>
      <c r="B234" s="503" t="s">
        <v>5801</v>
      </c>
      <c r="C234" s="504">
        <v>269786.53000000003</v>
      </c>
      <c r="N234" s="398">
        <v>6675462</v>
      </c>
      <c r="O234" s="398" t="s">
        <v>5802</v>
      </c>
      <c r="P234" s="505">
        <v>0</v>
      </c>
    </row>
    <row r="235" spans="1:16" ht="15.75" customHeight="1">
      <c r="A235" s="502" t="s">
        <v>2002</v>
      </c>
      <c r="B235" s="503" t="s">
        <v>5443</v>
      </c>
      <c r="C235" s="504">
        <v>268370.53999999998</v>
      </c>
      <c r="N235" s="398">
        <v>3412436</v>
      </c>
      <c r="O235" s="398" t="s">
        <v>5803</v>
      </c>
      <c r="P235" s="505">
        <v>0</v>
      </c>
    </row>
    <row r="236" spans="1:16" ht="15.75" customHeight="1">
      <c r="A236" s="502" t="s">
        <v>731</v>
      </c>
      <c r="B236" s="503" t="s">
        <v>5804</v>
      </c>
      <c r="C236" s="504">
        <v>265350.99</v>
      </c>
      <c r="N236" s="398">
        <v>5183783</v>
      </c>
      <c r="O236" s="398" t="s">
        <v>5805</v>
      </c>
      <c r="P236" s="505">
        <v>0</v>
      </c>
    </row>
    <row r="237" spans="1:16" ht="15.75" customHeight="1">
      <c r="A237" s="502" t="s">
        <v>863</v>
      </c>
      <c r="B237" s="503" t="s">
        <v>5806</v>
      </c>
      <c r="C237" s="504">
        <v>261948.21</v>
      </c>
      <c r="N237" s="398">
        <v>4460007</v>
      </c>
      <c r="O237" s="398" t="s">
        <v>5807</v>
      </c>
      <c r="P237" s="505">
        <v>0</v>
      </c>
    </row>
    <row r="238" spans="1:16" ht="15.75" customHeight="1">
      <c r="A238" s="502" t="s">
        <v>1290</v>
      </c>
      <c r="B238" s="503" t="s">
        <v>5597</v>
      </c>
      <c r="C238" s="504">
        <v>261830.58</v>
      </c>
      <c r="N238" s="398">
        <v>2218849</v>
      </c>
      <c r="O238" s="398" t="s">
        <v>5808</v>
      </c>
      <c r="P238" s="505">
        <v>0</v>
      </c>
    </row>
    <row r="239" spans="1:16" ht="15.75" customHeight="1">
      <c r="A239" s="502" t="s">
        <v>1723</v>
      </c>
      <c r="B239" s="503" t="s">
        <v>5809</v>
      </c>
      <c r="C239" s="504">
        <v>261235.46</v>
      </c>
      <c r="N239" s="398">
        <v>6065019</v>
      </c>
      <c r="O239" s="398" t="s">
        <v>5810</v>
      </c>
      <c r="P239" s="505">
        <v>0</v>
      </c>
    </row>
    <row r="240" spans="1:16" ht="15.75" customHeight="1">
      <c r="A240" s="502" t="s">
        <v>2780</v>
      </c>
      <c r="B240" s="503" t="s">
        <v>5811</v>
      </c>
      <c r="C240" s="504">
        <v>260667.45</v>
      </c>
      <c r="N240" s="398">
        <v>8392987</v>
      </c>
      <c r="O240" s="398" t="s">
        <v>5812</v>
      </c>
      <c r="P240" s="505">
        <v>0</v>
      </c>
    </row>
    <row r="241" spans="1:16" ht="15.75" customHeight="1">
      <c r="A241" s="502" t="s">
        <v>1639</v>
      </c>
      <c r="B241" s="503" t="s">
        <v>5813</v>
      </c>
      <c r="C241" s="504">
        <v>260206.02</v>
      </c>
      <c r="N241" s="398">
        <v>9274292</v>
      </c>
      <c r="O241" s="398" t="s">
        <v>5814</v>
      </c>
      <c r="P241" s="505">
        <v>0</v>
      </c>
    </row>
    <row r="242" spans="1:16" ht="15.75" customHeight="1">
      <c r="A242" s="502" t="s">
        <v>1905</v>
      </c>
      <c r="B242" s="503" t="s">
        <v>5774</v>
      </c>
      <c r="C242" s="504">
        <v>257549.32</v>
      </c>
      <c r="N242" s="398">
        <v>4879786</v>
      </c>
      <c r="O242" s="398" t="s">
        <v>5815</v>
      </c>
      <c r="P242" s="505">
        <v>0</v>
      </c>
    </row>
    <row r="243" spans="1:16" ht="15.75" customHeight="1">
      <c r="A243" s="502" t="s">
        <v>2562</v>
      </c>
      <c r="B243" s="503" t="s">
        <v>5816</v>
      </c>
      <c r="C243" s="504">
        <v>254639.12</v>
      </c>
      <c r="N243" s="398">
        <v>4744962</v>
      </c>
      <c r="O243" s="398" t="s">
        <v>5817</v>
      </c>
      <c r="P243" s="505">
        <v>0</v>
      </c>
    </row>
    <row r="244" spans="1:16" ht="15.75" customHeight="1">
      <c r="A244" s="502" t="s">
        <v>1232</v>
      </c>
      <c r="B244" s="503" t="s">
        <v>5818</v>
      </c>
      <c r="C244" s="504">
        <v>254122.92</v>
      </c>
      <c r="N244" s="398">
        <v>6456469</v>
      </c>
      <c r="O244" s="398" t="s">
        <v>5819</v>
      </c>
      <c r="P244" s="505">
        <v>643304.71</v>
      </c>
    </row>
    <row r="245" spans="1:16" ht="15.75" customHeight="1">
      <c r="A245" s="502" t="s">
        <v>1771</v>
      </c>
      <c r="B245" s="503" t="s">
        <v>5692</v>
      </c>
      <c r="C245" s="504">
        <v>253145.02</v>
      </c>
      <c r="N245" s="398">
        <v>6493585</v>
      </c>
      <c r="O245" s="398" t="s">
        <v>5820</v>
      </c>
      <c r="P245" s="505">
        <v>0</v>
      </c>
    </row>
    <row r="246" spans="1:16" ht="15.75" customHeight="1">
      <c r="A246" s="502" t="s">
        <v>2255</v>
      </c>
      <c r="B246" s="503" t="s">
        <v>5451</v>
      </c>
      <c r="C246" s="504">
        <v>251203.66</v>
      </c>
      <c r="N246" s="398">
        <v>8104478</v>
      </c>
      <c r="O246" s="398" t="s">
        <v>5821</v>
      </c>
      <c r="P246" s="505">
        <v>0</v>
      </c>
    </row>
    <row r="247" spans="1:16" ht="15.75" customHeight="1">
      <c r="A247" s="502" t="s">
        <v>2072</v>
      </c>
      <c r="B247" s="503" t="s">
        <v>5822</v>
      </c>
      <c r="C247" s="504">
        <v>248951.71</v>
      </c>
      <c r="N247" s="398">
        <v>581733</v>
      </c>
      <c r="O247" s="398" t="s">
        <v>5757</v>
      </c>
      <c r="P247" s="505">
        <v>0</v>
      </c>
    </row>
    <row r="248" spans="1:16" ht="15.75" customHeight="1">
      <c r="A248" s="502" t="s">
        <v>224</v>
      </c>
      <c r="B248" s="503" t="s">
        <v>5823</v>
      </c>
      <c r="C248" s="504">
        <v>248386.86</v>
      </c>
      <c r="N248" s="398">
        <v>4848604</v>
      </c>
      <c r="O248" s="398" t="s">
        <v>5824</v>
      </c>
      <c r="P248" s="505">
        <v>0</v>
      </c>
    </row>
    <row r="249" spans="1:16" ht="15.75" customHeight="1">
      <c r="A249" s="502" t="s">
        <v>2225</v>
      </c>
      <c r="B249" s="503" t="s">
        <v>5580</v>
      </c>
      <c r="C249" s="504">
        <v>247455.94</v>
      </c>
      <c r="N249" s="398">
        <v>8461167</v>
      </c>
      <c r="O249" s="398" t="s">
        <v>5825</v>
      </c>
      <c r="P249" s="505">
        <v>0</v>
      </c>
    </row>
    <row r="250" spans="1:16" ht="15.75" customHeight="1">
      <c r="A250" s="502" t="s">
        <v>755</v>
      </c>
      <c r="B250" s="503" t="s">
        <v>5765</v>
      </c>
      <c r="C250" s="504">
        <v>246481.88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2636</v>
      </c>
      <c r="B251" s="503" t="s">
        <v>5827</v>
      </c>
      <c r="C251" s="504">
        <v>243797.48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2776</v>
      </c>
      <c r="B252" s="503" t="s">
        <v>5811</v>
      </c>
      <c r="C252" s="504">
        <v>243053.23</v>
      </c>
      <c r="N252" s="398">
        <v>4606048</v>
      </c>
      <c r="O252" s="398" t="s">
        <v>5829</v>
      </c>
      <c r="P252" s="505">
        <v>8229.2000000000007</v>
      </c>
    </row>
    <row r="253" spans="1:16" ht="15.75" customHeight="1">
      <c r="A253" s="502" t="s">
        <v>974</v>
      </c>
      <c r="B253" s="503" t="s">
        <v>5830</v>
      </c>
      <c r="C253" s="504">
        <v>240483.29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2014</v>
      </c>
      <c r="B254" s="503" t="s">
        <v>5832</v>
      </c>
      <c r="C254" s="504">
        <v>234281.38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1367</v>
      </c>
      <c r="B255" s="503" t="s">
        <v>5834</v>
      </c>
      <c r="C255" s="504">
        <v>234119.74</v>
      </c>
      <c r="N255" s="398">
        <v>2997463</v>
      </c>
      <c r="O255" s="398" t="s">
        <v>5835</v>
      </c>
      <c r="P255" s="505">
        <v>0</v>
      </c>
    </row>
    <row r="256" spans="1:16" ht="15.75" customHeight="1">
      <c r="A256" s="502" t="s">
        <v>550</v>
      </c>
      <c r="B256" s="503" t="s">
        <v>5643</v>
      </c>
      <c r="C256" s="504">
        <v>232224.03</v>
      </c>
      <c r="N256" s="398">
        <v>5537937</v>
      </c>
      <c r="O256" s="398" t="s">
        <v>5836</v>
      </c>
      <c r="P256" s="505">
        <v>0</v>
      </c>
    </row>
    <row r="257" spans="1:16" ht="15.75" customHeight="1">
      <c r="A257" s="502" t="s">
        <v>2542</v>
      </c>
      <c r="B257" s="503" t="s">
        <v>5837</v>
      </c>
      <c r="C257" s="504">
        <v>231914.25</v>
      </c>
      <c r="N257" s="398">
        <v>4113513</v>
      </c>
      <c r="O257" s="398" t="s">
        <v>5838</v>
      </c>
      <c r="P257" s="505">
        <v>56514.1</v>
      </c>
    </row>
    <row r="258" spans="1:16" ht="15.75" customHeight="1">
      <c r="A258" s="502" t="s">
        <v>1505</v>
      </c>
      <c r="B258" s="503" t="s">
        <v>5459</v>
      </c>
      <c r="C258" s="504">
        <v>230718.4</v>
      </c>
      <c r="N258" s="398">
        <v>4461647</v>
      </c>
      <c r="O258" s="398" t="s">
        <v>5839</v>
      </c>
      <c r="P258" s="505">
        <v>0.01</v>
      </c>
    </row>
    <row r="259" spans="1:16" ht="15.75" customHeight="1">
      <c r="A259" s="502" t="s">
        <v>1548</v>
      </c>
      <c r="B259" s="503" t="s">
        <v>5840</v>
      </c>
      <c r="C259" s="504">
        <v>229243.03</v>
      </c>
      <c r="N259" s="398">
        <v>9398037</v>
      </c>
      <c r="O259" s="398" t="s">
        <v>5841</v>
      </c>
      <c r="P259" s="505">
        <v>60916.81</v>
      </c>
    </row>
    <row r="260" spans="1:16" ht="15.75" customHeight="1">
      <c r="A260" s="502" t="s">
        <v>1435</v>
      </c>
      <c r="B260" s="503" t="s">
        <v>5653</v>
      </c>
      <c r="C260" s="504">
        <v>228541.44</v>
      </c>
      <c r="N260" s="398">
        <v>4644940</v>
      </c>
      <c r="O260" s="398" t="s">
        <v>5842</v>
      </c>
      <c r="P260" s="505">
        <v>0</v>
      </c>
    </row>
    <row r="261" spans="1:16" ht="15.75" customHeight="1">
      <c r="A261" s="502" t="s">
        <v>2363</v>
      </c>
      <c r="B261" s="503" t="s">
        <v>5437</v>
      </c>
      <c r="C261" s="504">
        <v>222928.83</v>
      </c>
      <c r="N261" s="398">
        <v>4911406</v>
      </c>
      <c r="O261" s="398" t="s">
        <v>5843</v>
      </c>
      <c r="P261" s="505">
        <v>0</v>
      </c>
    </row>
    <row r="262" spans="1:16" ht="15.75" customHeight="1">
      <c r="A262" s="502" t="s">
        <v>528</v>
      </c>
      <c r="B262" s="503" t="s">
        <v>5445</v>
      </c>
      <c r="C262" s="504">
        <v>221103.94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1029</v>
      </c>
      <c r="B263" s="503" t="s">
        <v>5845</v>
      </c>
      <c r="C263" s="504">
        <v>220246.89</v>
      </c>
      <c r="N263" s="398">
        <v>2427806</v>
      </c>
      <c r="O263" s="398" t="s">
        <v>5846</v>
      </c>
      <c r="P263" s="505">
        <v>58102.96</v>
      </c>
    </row>
    <row r="264" spans="1:16" ht="15.75" customHeight="1">
      <c r="A264" s="502" t="s">
        <v>2647</v>
      </c>
      <c r="B264" s="503" t="s">
        <v>5847</v>
      </c>
      <c r="C264" s="504">
        <v>217049.3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2339</v>
      </c>
      <c r="B265" s="503" t="s">
        <v>5499</v>
      </c>
      <c r="C265" s="504">
        <v>215051.49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204</v>
      </c>
      <c r="B266" s="503" t="s">
        <v>5595</v>
      </c>
      <c r="C266" s="504">
        <v>213416.64</v>
      </c>
      <c r="N266" s="398">
        <v>8227775</v>
      </c>
      <c r="O266" s="398" t="s">
        <v>5850</v>
      </c>
      <c r="P266" s="505">
        <v>0</v>
      </c>
    </row>
    <row r="267" spans="1:16" ht="15.75" customHeight="1">
      <c r="A267" s="502" t="s">
        <v>2870</v>
      </c>
      <c r="B267" s="503" t="s">
        <v>5851</v>
      </c>
      <c r="C267" s="504">
        <v>210442.29</v>
      </c>
      <c r="N267" s="398">
        <v>2129230</v>
      </c>
      <c r="O267" s="398" t="s">
        <v>5852</v>
      </c>
      <c r="P267" s="505">
        <v>0</v>
      </c>
    </row>
    <row r="268" spans="1:16" ht="15.75" customHeight="1">
      <c r="A268" s="502" t="s">
        <v>688</v>
      </c>
      <c r="B268" s="503" t="s">
        <v>5853</v>
      </c>
      <c r="C268" s="504">
        <v>209866.48</v>
      </c>
      <c r="N268" s="398">
        <v>4656935</v>
      </c>
      <c r="O268" s="398" t="s">
        <v>5854</v>
      </c>
      <c r="P268" s="505">
        <v>0</v>
      </c>
    </row>
    <row r="269" spans="1:16" ht="15.75" customHeight="1">
      <c r="A269" s="502" t="s">
        <v>1395</v>
      </c>
      <c r="B269" s="503" t="s">
        <v>5855</v>
      </c>
      <c r="C269" s="504">
        <v>209833.64</v>
      </c>
      <c r="N269" s="398">
        <v>4550421</v>
      </c>
      <c r="O269" s="398" t="s">
        <v>5856</v>
      </c>
      <c r="P269" s="505">
        <v>0</v>
      </c>
    </row>
    <row r="270" spans="1:16" ht="15.75" customHeight="1">
      <c r="A270" s="502" t="s">
        <v>2605</v>
      </c>
      <c r="B270" s="503" t="s">
        <v>5857</v>
      </c>
      <c r="C270" s="504">
        <v>209784.23</v>
      </c>
      <c r="N270" s="398">
        <v>3369465</v>
      </c>
      <c r="O270" s="398" t="s">
        <v>5858</v>
      </c>
      <c r="P270" s="505">
        <v>12072.43</v>
      </c>
    </row>
    <row r="271" spans="1:16" ht="15.75" customHeight="1">
      <c r="A271" s="502" t="s">
        <v>1195</v>
      </c>
      <c r="B271" s="503" t="s">
        <v>5859</v>
      </c>
      <c r="C271" s="504">
        <v>206034.35</v>
      </c>
      <c r="N271" s="398">
        <v>7998405</v>
      </c>
      <c r="O271" s="398" t="s">
        <v>5860</v>
      </c>
      <c r="P271" s="505">
        <v>0</v>
      </c>
    </row>
    <row r="272" spans="1:16" ht="15.75" customHeight="1">
      <c r="A272" s="502" t="s">
        <v>500</v>
      </c>
      <c r="B272" s="503" t="s">
        <v>5861</v>
      </c>
      <c r="C272" s="504">
        <v>205233.46</v>
      </c>
      <c r="N272" s="398">
        <v>7000733</v>
      </c>
      <c r="O272" s="398" t="s">
        <v>5710</v>
      </c>
      <c r="P272" s="505">
        <v>0</v>
      </c>
    </row>
    <row r="273" spans="1:16" ht="15.75" customHeight="1">
      <c r="A273" s="502" t="s">
        <v>1978</v>
      </c>
      <c r="B273" s="503" t="s">
        <v>5443</v>
      </c>
      <c r="C273" s="504">
        <v>204439.57</v>
      </c>
      <c r="N273" s="398">
        <v>5646446</v>
      </c>
      <c r="O273" s="398" t="s">
        <v>5862</v>
      </c>
      <c r="P273" s="505">
        <v>0</v>
      </c>
    </row>
    <row r="274" spans="1:16" ht="15.75" customHeight="1">
      <c r="A274" s="502" t="s">
        <v>2317</v>
      </c>
      <c r="B274" s="503" t="s">
        <v>5516</v>
      </c>
      <c r="C274" s="504">
        <v>204286.81</v>
      </c>
      <c r="N274" s="398">
        <v>2931994</v>
      </c>
      <c r="O274" s="398" t="s">
        <v>5863</v>
      </c>
      <c r="P274" s="505">
        <v>84.04</v>
      </c>
    </row>
    <row r="275" spans="1:16" ht="15.75" customHeight="1">
      <c r="A275" s="502" t="s">
        <v>829</v>
      </c>
      <c r="B275" s="503" t="s">
        <v>5864</v>
      </c>
      <c r="C275" s="504">
        <v>199046.08</v>
      </c>
      <c r="N275" s="398">
        <v>9129986</v>
      </c>
      <c r="O275" s="398" t="s">
        <v>5835</v>
      </c>
      <c r="P275" s="505">
        <v>0</v>
      </c>
    </row>
    <row r="276" spans="1:16" ht="15.75" customHeight="1">
      <c r="A276" s="502" t="s">
        <v>856</v>
      </c>
      <c r="B276" s="503" t="s">
        <v>5429</v>
      </c>
      <c r="C276" s="504">
        <v>196844.33</v>
      </c>
      <c r="N276" s="398">
        <v>8853992</v>
      </c>
      <c r="O276" s="398" t="s">
        <v>5865</v>
      </c>
      <c r="P276" s="505">
        <v>0</v>
      </c>
    </row>
    <row r="277" spans="1:16" ht="15.75" customHeight="1">
      <c r="A277" s="502" t="s">
        <v>2477</v>
      </c>
      <c r="B277" s="503" t="s">
        <v>5866</v>
      </c>
      <c r="C277" s="504">
        <v>195178.57</v>
      </c>
      <c r="N277" s="398">
        <v>6164897</v>
      </c>
      <c r="O277" s="398" t="s">
        <v>5867</v>
      </c>
      <c r="P277" s="505">
        <v>1021.33</v>
      </c>
    </row>
    <row r="278" spans="1:16" ht="15.75" customHeight="1">
      <c r="A278" s="502" t="s">
        <v>2404</v>
      </c>
      <c r="B278" s="503" t="s">
        <v>5868</v>
      </c>
      <c r="C278" s="504">
        <v>194091.95</v>
      </c>
      <c r="N278" s="398">
        <v>522975</v>
      </c>
      <c r="O278" s="398" t="s">
        <v>5869</v>
      </c>
      <c r="P278" s="505">
        <v>388.47</v>
      </c>
    </row>
    <row r="279" spans="1:16" ht="15.75" customHeight="1">
      <c r="A279" s="502" t="s">
        <v>2139</v>
      </c>
      <c r="B279" s="503" t="s">
        <v>5870</v>
      </c>
      <c r="C279" s="504">
        <v>188748.56</v>
      </c>
      <c r="N279" s="398">
        <v>4954616</v>
      </c>
      <c r="O279" s="398" t="s">
        <v>5871</v>
      </c>
      <c r="P279" s="505">
        <v>0</v>
      </c>
    </row>
    <row r="280" spans="1:16" ht="15.75" customHeight="1">
      <c r="A280" s="502" t="s">
        <v>2313</v>
      </c>
      <c r="B280" s="503" t="s">
        <v>5516</v>
      </c>
      <c r="C280" s="504">
        <v>187430.76</v>
      </c>
      <c r="N280" s="398">
        <v>7975707</v>
      </c>
      <c r="O280" s="398" t="s">
        <v>5469</v>
      </c>
      <c r="P280" s="505">
        <v>2897.96</v>
      </c>
    </row>
    <row r="281" spans="1:16" ht="15.75" customHeight="1">
      <c r="A281" s="502" t="s">
        <v>595</v>
      </c>
      <c r="B281" s="503" t="s">
        <v>5457</v>
      </c>
      <c r="C281" s="504">
        <v>184987.6</v>
      </c>
      <c r="N281" s="398">
        <v>2751241</v>
      </c>
      <c r="O281" s="398" t="s">
        <v>5872</v>
      </c>
      <c r="P281" s="505">
        <v>11896.32</v>
      </c>
    </row>
    <row r="282" spans="1:16" ht="15.75" customHeight="1">
      <c r="A282" s="502" t="s">
        <v>1747</v>
      </c>
      <c r="B282" s="503" t="s">
        <v>5658</v>
      </c>
      <c r="C282" s="504">
        <v>182507.83</v>
      </c>
      <c r="N282" s="398">
        <v>6200964</v>
      </c>
      <c r="O282" s="398" t="s">
        <v>5873</v>
      </c>
      <c r="P282" s="505">
        <v>0</v>
      </c>
    </row>
    <row r="283" spans="1:16" ht="15.75" customHeight="1">
      <c r="A283" s="502" t="s">
        <v>2669</v>
      </c>
      <c r="B283" s="503" t="s">
        <v>5670</v>
      </c>
      <c r="C283" s="504">
        <v>182220.24</v>
      </c>
      <c r="N283" s="398">
        <v>3286506</v>
      </c>
      <c r="O283" s="398" t="s">
        <v>4034</v>
      </c>
      <c r="P283" s="505">
        <v>0</v>
      </c>
    </row>
    <row r="284" spans="1:16" ht="15.75" customHeight="1">
      <c r="A284" s="502" t="s">
        <v>716</v>
      </c>
      <c r="B284" s="503" t="s">
        <v>5874</v>
      </c>
      <c r="C284" s="504">
        <v>181527.26</v>
      </c>
      <c r="N284" s="398">
        <v>495561</v>
      </c>
      <c r="O284" s="398" t="s">
        <v>5053</v>
      </c>
      <c r="P284" s="505">
        <v>8.09</v>
      </c>
    </row>
    <row r="285" spans="1:16" ht="15.75" customHeight="1">
      <c r="A285" s="502" t="s">
        <v>1243</v>
      </c>
      <c r="B285" s="503" t="s">
        <v>5501</v>
      </c>
      <c r="C285" s="504">
        <v>181048.44</v>
      </c>
      <c r="N285" s="398">
        <v>3345620</v>
      </c>
      <c r="O285" s="398" t="s">
        <v>5839</v>
      </c>
      <c r="P285" s="505">
        <v>208597.8</v>
      </c>
    </row>
    <row r="286" spans="1:16" ht="15.75" customHeight="1">
      <c r="A286" s="502" t="s">
        <v>2412</v>
      </c>
      <c r="B286" s="503" t="s">
        <v>5875</v>
      </c>
      <c r="C286" s="504">
        <v>179948.41</v>
      </c>
      <c r="N286" s="398">
        <v>111377</v>
      </c>
      <c r="O286" s="398" t="s">
        <v>5876</v>
      </c>
      <c r="P286" s="505">
        <v>0</v>
      </c>
    </row>
    <row r="287" spans="1:16" ht="15.75" customHeight="1">
      <c r="A287" s="502" t="s">
        <v>2830</v>
      </c>
      <c r="B287" s="503" t="s">
        <v>5877</v>
      </c>
      <c r="C287" s="504">
        <v>176061.38</v>
      </c>
      <c r="N287" s="398">
        <v>1000521</v>
      </c>
      <c r="O287" s="398" t="s">
        <v>5876</v>
      </c>
      <c r="P287" s="505">
        <v>0</v>
      </c>
    </row>
    <row r="288" spans="1:16" ht="15.75" customHeight="1">
      <c r="A288" s="502" t="s">
        <v>1525</v>
      </c>
      <c r="B288" s="503" t="s">
        <v>5878</v>
      </c>
      <c r="C288" s="504">
        <v>175993.81</v>
      </c>
      <c r="P288" s="505"/>
    </row>
    <row r="289" spans="1:16" ht="15.75" customHeight="1">
      <c r="A289" s="502" t="s">
        <v>777</v>
      </c>
      <c r="B289" s="503" t="s">
        <v>5879</v>
      </c>
      <c r="C289" s="504">
        <v>173725.27</v>
      </c>
      <c r="P289" s="505"/>
    </row>
    <row r="290" spans="1:16" ht="15.75" customHeight="1">
      <c r="A290" s="502" t="s">
        <v>2704</v>
      </c>
      <c r="B290" s="503" t="s">
        <v>5880</v>
      </c>
      <c r="C290" s="504">
        <v>171918.98</v>
      </c>
      <c r="P290" s="505"/>
    </row>
    <row r="291" spans="1:16" ht="15.75" customHeight="1">
      <c r="A291" s="502" t="s">
        <v>1563</v>
      </c>
      <c r="B291" s="503" t="s">
        <v>5881</v>
      </c>
      <c r="C291" s="504">
        <v>168207.1</v>
      </c>
      <c r="P291" s="505"/>
    </row>
    <row r="292" spans="1:16" ht="15.75" customHeight="1">
      <c r="A292" s="502" t="s">
        <v>2827</v>
      </c>
      <c r="B292" s="503" t="s">
        <v>5877</v>
      </c>
      <c r="C292" s="504">
        <v>168086.85</v>
      </c>
      <c r="P292" s="505"/>
    </row>
    <row r="293" spans="1:16" ht="15.75" customHeight="1">
      <c r="A293" s="502" t="s">
        <v>1586</v>
      </c>
      <c r="B293" s="503" t="s">
        <v>5882</v>
      </c>
      <c r="C293" s="504">
        <v>167927.98</v>
      </c>
      <c r="P293" s="505"/>
    </row>
    <row r="294" spans="1:16" ht="15.75" customHeight="1">
      <c r="A294" s="502" t="s">
        <v>2437</v>
      </c>
      <c r="B294" s="503" t="s">
        <v>5690</v>
      </c>
      <c r="C294" s="504">
        <v>167473.35999999999</v>
      </c>
    </row>
    <row r="295" spans="1:16" ht="15.75" customHeight="1">
      <c r="A295" s="502" t="s">
        <v>1011</v>
      </c>
      <c r="B295" s="503" t="s">
        <v>5883</v>
      </c>
      <c r="C295" s="504">
        <v>166849.89000000001</v>
      </c>
    </row>
    <row r="296" spans="1:16" ht="15.75" customHeight="1">
      <c r="A296" s="502" t="s">
        <v>311</v>
      </c>
      <c r="B296" s="503" t="s">
        <v>5485</v>
      </c>
      <c r="C296" s="504">
        <v>166614.82</v>
      </c>
    </row>
    <row r="297" spans="1:16" ht="15.75" customHeight="1">
      <c r="A297" s="502" t="s">
        <v>303</v>
      </c>
      <c r="B297" s="503" t="s">
        <v>5485</v>
      </c>
      <c r="C297" s="504">
        <v>166504.74</v>
      </c>
    </row>
    <row r="298" spans="1:16" ht="15.75" customHeight="1">
      <c r="A298" s="502" t="s">
        <v>284</v>
      </c>
      <c r="B298" s="503" t="s">
        <v>5485</v>
      </c>
      <c r="C298" s="504">
        <v>166375.22</v>
      </c>
    </row>
    <row r="299" spans="1:16" ht="15.75" customHeight="1">
      <c r="A299" s="502" t="s">
        <v>2229</v>
      </c>
      <c r="B299" s="503" t="s">
        <v>5580</v>
      </c>
      <c r="C299" s="504">
        <v>165417.41</v>
      </c>
    </row>
    <row r="300" spans="1:16" ht="15.75" customHeight="1">
      <c r="A300" s="502" t="s">
        <v>2853</v>
      </c>
      <c r="B300" s="503" t="s">
        <v>5884</v>
      </c>
      <c r="C300" s="504">
        <v>164071.85999999999</v>
      </c>
    </row>
    <row r="301" spans="1:16" ht="15.75" customHeight="1">
      <c r="A301" s="502" t="s">
        <v>1047</v>
      </c>
      <c r="B301" s="503" t="s">
        <v>5885</v>
      </c>
      <c r="C301" s="504">
        <v>161819.46</v>
      </c>
    </row>
    <row r="302" spans="1:16" ht="15.75" customHeight="1">
      <c r="A302" s="502" t="s">
        <v>2306</v>
      </c>
      <c r="B302" s="503" t="s">
        <v>5516</v>
      </c>
      <c r="C302" s="504">
        <v>160810.41</v>
      </c>
    </row>
    <row r="303" spans="1:16" ht="15.75" customHeight="1">
      <c r="A303" s="502" t="s">
        <v>2182</v>
      </c>
      <c r="B303" s="503" t="s">
        <v>5886</v>
      </c>
      <c r="C303" s="504">
        <v>159639.60999999999</v>
      </c>
    </row>
    <row r="304" spans="1:16" ht="15.75" customHeight="1">
      <c r="A304" s="502" t="s">
        <v>661</v>
      </c>
      <c r="B304" s="503" t="s">
        <v>5887</v>
      </c>
      <c r="C304" s="504">
        <v>158298.62</v>
      </c>
    </row>
    <row r="305" spans="1:3" ht="15.75" customHeight="1">
      <c r="A305" s="502" t="s">
        <v>1044</v>
      </c>
      <c r="B305" s="503" t="s">
        <v>5888</v>
      </c>
      <c r="C305" s="504">
        <v>155269.09</v>
      </c>
    </row>
    <row r="306" spans="1:3" ht="15.75" customHeight="1">
      <c r="A306" s="502" t="s">
        <v>965</v>
      </c>
      <c r="B306" s="503" t="s">
        <v>5889</v>
      </c>
      <c r="C306" s="504">
        <v>153144.32000000001</v>
      </c>
    </row>
    <row r="307" spans="1:3" ht="15.75" customHeight="1">
      <c r="A307" s="502" t="s">
        <v>2284</v>
      </c>
      <c r="B307" s="503" t="s">
        <v>5664</v>
      </c>
      <c r="C307" s="504">
        <v>153038.74</v>
      </c>
    </row>
    <row r="308" spans="1:3" ht="15.75" customHeight="1">
      <c r="A308" s="502" t="s">
        <v>1871</v>
      </c>
      <c r="B308" s="503" t="s">
        <v>5510</v>
      </c>
      <c r="C308" s="504">
        <v>152929.54</v>
      </c>
    </row>
    <row r="309" spans="1:3" ht="15.75" customHeight="1">
      <c r="A309" s="502" t="s">
        <v>268</v>
      </c>
      <c r="B309" s="503" t="s">
        <v>5890</v>
      </c>
      <c r="C309" s="504">
        <v>152264.88</v>
      </c>
    </row>
    <row r="310" spans="1:3" ht="15.75" customHeight="1">
      <c r="A310" s="502" t="s">
        <v>1894</v>
      </c>
      <c r="B310" s="503" t="s">
        <v>5774</v>
      </c>
      <c r="C310" s="504">
        <v>151387.29</v>
      </c>
    </row>
    <row r="311" spans="1:3" ht="15.75" customHeight="1">
      <c r="A311" s="502" t="s">
        <v>2877</v>
      </c>
      <c r="B311" s="503" t="s">
        <v>5891</v>
      </c>
      <c r="C311" s="504">
        <v>150832.1</v>
      </c>
    </row>
    <row r="312" spans="1:3" ht="15.75" customHeight="1">
      <c r="A312" s="502" t="s">
        <v>2022</v>
      </c>
      <c r="B312" s="503" t="s">
        <v>5892</v>
      </c>
      <c r="C312" s="504">
        <v>150025.81</v>
      </c>
    </row>
    <row r="313" spans="1:3" ht="15.75" customHeight="1">
      <c r="A313" s="502" t="s">
        <v>1399</v>
      </c>
      <c r="B313" s="503" t="s">
        <v>5893</v>
      </c>
      <c r="C313" s="504">
        <v>148773.09</v>
      </c>
    </row>
    <row r="314" spans="1:3" ht="15.75" customHeight="1">
      <c r="A314" s="502" t="s">
        <v>249</v>
      </c>
      <c r="B314" s="503" t="s">
        <v>5894</v>
      </c>
      <c r="C314" s="504">
        <v>147958.35</v>
      </c>
    </row>
    <row r="315" spans="1:3" ht="15.75" customHeight="1">
      <c r="A315" s="502" t="s">
        <v>1918</v>
      </c>
      <c r="B315" s="503" t="s">
        <v>5483</v>
      </c>
      <c r="C315" s="504">
        <v>147641.78</v>
      </c>
    </row>
    <row r="316" spans="1:3" ht="15.75" customHeight="1">
      <c r="A316" s="502" t="s">
        <v>2386</v>
      </c>
      <c r="B316" s="503" t="s">
        <v>5895</v>
      </c>
      <c r="C316" s="504">
        <v>146757.81</v>
      </c>
    </row>
    <row r="317" spans="1:3" ht="15.75" customHeight="1">
      <c r="A317" s="502" t="s">
        <v>1678</v>
      </c>
      <c r="B317" s="503" t="s">
        <v>5896</v>
      </c>
      <c r="C317" s="504">
        <v>146639.85</v>
      </c>
    </row>
    <row r="318" spans="1:3" ht="15.75" customHeight="1">
      <c r="A318" s="502" t="s">
        <v>2633</v>
      </c>
      <c r="B318" s="503" t="s">
        <v>5897</v>
      </c>
      <c r="C318" s="504">
        <v>146354.12</v>
      </c>
    </row>
    <row r="319" spans="1:3" ht="15.75" customHeight="1">
      <c r="A319" s="502" t="s">
        <v>764</v>
      </c>
      <c r="B319" s="503" t="s">
        <v>5765</v>
      </c>
      <c r="C319" s="504">
        <v>144924.42000000001</v>
      </c>
    </row>
    <row r="320" spans="1:3" ht="15.75" customHeight="1">
      <c r="A320" s="502" t="s">
        <v>2458</v>
      </c>
      <c r="B320" s="503" t="s">
        <v>5626</v>
      </c>
      <c r="C320" s="504">
        <v>144504.26</v>
      </c>
    </row>
    <row r="321" spans="1:3" ht="15.75" customHeight="1">
      <c r="A321" s="502" t="s">
        <v>2085</v>
      </c>
      <c r="B321" s="503" t="s">
        <v>5898</v>
      </c>
      <c r="C321" s="504">
        <v>144435.18</v>
      </c>
    </row>
    <row r="322" spans="1:3" ht="15.75" customHeight="1">
      <c r="A322" s="502" t="s">
        <v>220</v>
      </c>
      <c r="B322" s="503" t="s">
        <v>5823</v>
      </c>
      <c r="C322" s="504">
        <v>144420.57999999999</v>
      </c>
    </row>
    <row r="323" spans="1:3" ht="15.75" customHeight="1">
      <c r="A323" s="502" t="s">
        <v>650</v>
      </c>
      <c r="B323" s="503" t="s">
        <v>5899</v>
      </c>
      <c r="C323" s="504">
        <v>143662.5</v>
      </c>
    </row>
    <row r="324" spans="1:3" ht="15.75" customHeight="1">
      <c r="A324" s="502" t="s">
        <v>139</v>
      </c>
      <c r="B324" s="503" t="s">
        <v>5900</v>
      </c>
      <c r="C324" s="504">
        <v>143361.56</v>
      </c>
    </row>
    <row r="325" spans="1:3" ht="15.75" customHeight="1">
      <c r="A325" s="502" t="s">
        <v>1275</v>
      </c>
      <c r="B325" s="503" t="s">
        <v>5597</v>
      </c>
      <c r="C325" s="504">
        <v>142698.54</v>
      </c>
    </row>
    <row r="326" spans="1:3" ht="15.75" customHeight="1">
      <c r="A326" s="502" t="s">
        <v>2242</v>
      </c>
      <c r="B326" s="503" t="s">
        <v>5451</v>
      </c>
      <c r="C326" s="504">
        <v>142041.88</v>
      </c>
    </row>
    <row r="327" spans="1:3" ht="15.75" customHeight="1">
      <c r="A327" s="502" t="s">
        <v>2660</v>
      </c>
      <c r="B327" s="503" t="s">
        <v>5901</v>
      </c>
      <c r="C327" s="504">
        <v>141858.13</v>
      </c>
    </row>
    <row r="328" spans="1:3" ht="15.75" customHeight="1">
      <c r="A328" s="502" t="s">
        <v>1864</v>
      </c>
      <c r="B328" s="503" t="s">
        <v>5510</v>
      </c>
      <c r="C328" s="504">
        <v>140774.23000000001</v>
      </c>
    </row>
    <row r="329" spans="1:3" ht="15.75" customHeight="1">
      <c r="A329" s="502" t="s">
        <v>1166</v>
      </c>
      <c r="B329" s="503" t="s">
        <v>5902</v>
      </c>
      <c r="C329" s="504">
        <v>140487</v>
      </c>
    </row>
    <row r="330" spans="1:3" ht="15.75" customHeight="1">
      <c r="A330" s="502" t="s">
        <v>2590</v>
      </c>
      <c r="B330" s="503" t="s">
        <v>5903</v>
      </c>
      <c r="C330" s="504">
        <v>140281.69</v>
      </c>
    </row>
    <row r="331" spans="1:3" ht="15.75" customHeight="1">
      <c r="A331" s="502" t="s">
        <v>2011</v>
      </c>
      <c r="B331" s="503" t="s">
        <v>5832</v>
      </c>
      <c r="C331" s="504">
        <v>139637.19</v>
      </c>
    </row>
    <row r="332" spans="1:3" ht="15.75" customHeight="1">
      <c r="A332" s="502" t="s">
        <v>927</v>
      </c>
      <c r="B332" s="503" t="s">
        <v>5904</v>
      </c>
      <c r="C332" s="504">
        <v>137885.41</v>
      </c>
    </row>
    <row r="333" spans="1:3" ht="15.75" customHeight="1">
      <c r="A333" s="502" t="s">
        <v>1101</v>
      </c>
      <c r="B333" s="503" t="s">
        <v>5725</v>
      </c>
      <c r="C333" s="504">
        <v>137884.97</v>
      </c>
    </row>
    <row r="334" spans="1:3" ht="15.75" customHeight="1">
      <c r="A334" s="502" t="s">
        <v>2360</v>
      </c>
      <c r="B334" s="503" t="s">
        <v>5437</v>
      </c>
      <c r="C334" s="504">
        <v>137252.12</v>
      </c>
    </row>
    <row r="335" spans="1:3" ht="15.75" customHeight="1">
      <c r="A335" s="502" t="s">
        <v>1642</v>
      </c>
      <c r="B335" s="503" t="s">
        <v>5801</v>
      </c>
      <c r="C335" s="504">
        <v>137213.29999999999</v>
      </c>
    </row>
    <row r="336" spans="1:3" ht="15.75" customHeight="1">
      <c r="A336" s="502" t="s">
        <v>2031</v>
      </c>
      <c r="B336" s="503" t="s">
        <v>5905</v>
      </c>
      <c r="C336" s="504">
        <v>136997.21</v>
      </c>
    </row>
    <row r="337" spans="1:3" ht="15.75" customHeight="1">
      <c r="A337" s="502" t="s">
        <v>1061</v>
      </c>
      <c r="B337" s="503" t="s">
        <v>5906</v>
      </c>
      <c r="C337" s="504">
        <v>136746.46</v>
      </c>
    </row>
    <row r="338" spans="1:3" ht="15.75" customHeight="1">
      <c r="A338" s="502" t="s">
        <v>1098</v>
      </c>
      <c r="B338" s="503" t="s">
        <v>5725</v>
      </c>
      <c r="C338" s="504">
        <v>135790.04999999999</v>
      </c>
    </row>
    <row r="339" spans="1:3" ht="15.75" customHeight="1">
      <c r="A339" s="502" t="s">
        <v>2535</v>
      </c>
      <c r="B339" s="503" t="s">
        <v>5907</v>
      </c>
      <c r="C339" s="504">
        <v>134828.39000000001</v>
      </c>
    </row>
    <row r="340" spans="1:3" ht="15.75" customHeight="1">
      <c r="A340" s="502" t="s">
        <v>2113</v>
      </c>
      <c r="B340" s="503" t="s">
        <v>5507</v>
      </c>
      <c r="C340" s="504">
        <v>129183.85</v>
      </c>
    </row>
    <row r="341" spans="1:3" ht="15.75" customHeight="1">
      <c r="A341" s="502" t="s">
        <v>2215</v>
      </c>
      <c r="B341" s="503" t="s">
        <v>5908</v>
      </c>
      <c r="C341" s="504">
        <v>128947.65</v>
      </c>
    </row>
    <row r="342" spans="1:3" ht="15.75" customHeight="1">
      <c r="A342" s="502" t="s">
        <v>2092</v>
      </c>
      <c r="B342" s="503" t="s">
        <v>5909</v>
      </c>
      <c r="C342" s="504">
        <v>128923.41</v>
      </c>
    </row>
    <row r="343" spans="1:3" ht="15.75" customHeight="1">
      <c r="A343" s="502" t="s">
        <v>2698</v>
      </c>
      <c r="B343" s="503" t="s">
        <v>5910</v>
      </c>
      <c r="C343" s="504">
        <v>127334.67</v>
      </c>
    </row>
    <row r="344" spans="1:3" ht="15.75" customHeight="1">
      <c r="A344" s="502" t="s">
        <v>843</v>
      </c>
      <c r="B344" s="503" t="s">
        <v>5631</v>
      </c>
      <c r="C344" s="504">
        <v>127141.83</v>
      </c>
    </row>
    <row r="345" spans="1:3" ht="15.75" customHeight="1">
      <c r="A345" s="502" t="s">
        <v>1038</v>
      </c>
      <c r="B345" s="503" t="s">
        <v>5792</v>
      </c>
      <c r="C345" s="504">
        <v>124223.02</v>
      </c>
    </row>
    <row r="346" spans="1:3" ht="15.75" customHeight="1">
      <c r="A346" s="502" t="s">
        <v>1555</v>
      </c>
      <c r="B346" s="503" t="s">
        <v>5911</v>
      </c>
      <c r="C346" s="504">
        <v>122229.89</v>
      </c>
    </row>
    <row r="347" spans="1:3" ht="15.75" customHeight="1">
      <c r="A347" s="502" t="s">
        <v>442</v>
      </c>
      <c r="B347" s="503" t="s">
        <v>5912</v>
      </c>
      <c r="C347" s="504">
        <v>121270.2</v>
      </c>
    </row>
    <row r="348" spans="1:3" ht="15.75" customHeight="1">
      <c r="A348" s="502" t="s">
        <v>1786</v>
      </c>
      <c r="B348" s="503" t="s">
        <v>5692</v>
      </c>
      <c r="C348" s="504">
        <v>121158.21</v>
      </c>
    </row>
    <row r="349" spans="1:3" ht="15.75" customHeight="1">
      <c r="A349" s="502" t="s">
        <v>1258</v>
      </c>
      <c r="B349" s="503" t="s">
        <v>5501</v>
      </c>
      <c r="C349" s="504">
        <v>118263.72</v>
      </c>
    </row>
    <row r="350" spans="1:3" ht="15.75" customHeight="1">
      <c r="A350" s="502" t="s">
        <v>2571</v>
      </c>
      <c r="B350" s="503" t="s">
        <v>5913</v>
      </c>
      <c r="C350" s="504">
        <v>116146.69</v>
      </c>
    </row>
    <row r="351" spans="1:3" ht="15.75" customHeight="1">
      <c r="A351" s="502" t="s">
        <v>1509</v>
      </c>
      <c r="B351" s="503" t="s">
        <v>5459</v>
      </c>
      <c r="C351" s="504">
        <v>115834.53</v>
      </c>
    </row>
    <row r="352" spans="1:3" ht="15.75" customHeight="1">
      <c r="A352" s="502" t="s">
        <v>2591</v>
      </c>
      <c r="B352" s="503" t="s">
        <v>5903</v>
      </c>
      <c r="C352" s="504">
        <v>114461.64</v>
      </c>
    </row>
    <row r="353" spans="1:3" ht="15.75" customHeight="1">
      <c r="A353" s="502" t="s">
        <v>5914</v>
      </c>
      <c r="B353" s="503" t="s">
        <v>5915</v>
      </c>
      <c r="C353" s="504">
        <v>113848.5192</v>
      </c>
    </row>
    <row r="354" spans="1:3" ht="15.75" customHeight="1">
      <c r="A354" s="502" t="s">
        <v>2281</v>
      </c>
      <c r="B354" s="503" t="s">
        <v>5664</v>
      </c>
      <c r="C354" s="504">
        <v>113047.5</v>
      </c>
    </row>
    <row r="355" spans="1:3" ht="15.75" customHeight="1">
      <c r="A355" s="502" t="s">
        <v>812</v>
      </c>
      <c r="B355" s="503" t="s">
        <v>5916</v>
      </c>
      <c r="C355" s="504">
        <v>112553.14</v>
      </c>
    </row>
    <row r="356" spans="1:3" ht="15.75" customHeight="1">
      <c r="A356" s="502" t="s">
        <v>1731</v>
      </c>
      <c r="B356" s="503" t="s">
        <v>5495</v>
      </c>
      <c r="C356" s="504">
        <v>110771.6</v>
      </c>
    </row>
    <row r="357" spans="1:3" ht="15.75" customHeight="1">
      <c r="A357" s="502" t="s">
        <v>363</v>
      </c>
      <c r="B357" s="503" t="s">
        <v>5475</v>
      </c>
      <c r="C357" s="504">
        <v>109852.44</v>
      </c>
    </row>
    <row r="358" spans="1:3" ht="15.75" customHeight="1">
      <c r="A358" s="502" t="s">
        <v>570</v>
      </c>
      <c r="B358" s="503" t="s">
        <v>5917</v>
      </c>
      <c r="C358" s="504">
        <v>108897.02</v>
      </c>
    </row>
    <row r="359" spans="1:3" ht="15.75" customHeight="1">
      <c r="A359" s="502" t="s">
        <v>2771</v>
      </c>
      <c r="B359" s="503" t="s">
        <v>5460</v>
      </c>
      <c r="C359" s="504">
        <v>108765.39</v>
      </c>
    </row>
    <row r="360" spans="1:3" ht="15.75" customHeight="1">
      <c r="A360" s="502" t="s">
        <v>2272</v>
      </c>
      <c r="B360" s="503" t="s">
        <v>5664</v>
      </c>
      <c r="C360" s="504">
        <v>108210.38</v>
      </c>
    </row>
    <row r="361" spans="1:3" ht="15.75" customHeight="1">
      <c r="A361" s="502" t="s">
        <v>2881</v>
      </c>
      <c r="B361" s="503" t="s">
        <v>5918</v>
      </c>
      <c r="C361" s="504">
        <v>104945.88</v>
      </c>
    </row>
    <row r="362" spans="1:3" ht="15.75" customHeight="1">
      <c r="A362" s="502" t="s">
        <v>1823</v>
      </c>
      <c r="B362" s="503" t="s">
        <v>5518</v>
      </c>
      <c r="C362" s="504">
        <v>104921.76</v>
      </c>
    </row>
    <row r="363" spans="1:3" ht="15.75" customHeight="1">
      <c r="A363" s="502" t="s">
        <v>2545</v>
      </c>
      <c r="B363" s="503" t="s">
        <v>5837</v>
      </c>
      <c r="C363" s="504">
        <v>104619.05</v>
      </c>
    </row>
    <row r="364" spans="1:3" ht="15.75" customHeight="1">
      <c r="A364" s="502" t="s">
        <v>233</v>
      </c>
      <c r="B364" s="503" t="s">
        <v>5894</v>
      </c>
      <c r="C364" s="504">
        <v>104265.29</v>
      </c>
    </row>
    <row r="365" spans="1:3" ht="15.75" customHeight="1">
      <c r="A365" s="502" t="s">
        <v>1185</v>
      </c>
      <c r="B365" s="503" t="s">
        <v>5919</v>
      </c>
      <c r="C365" s="504">
        <v>103814.77</v>
      </c>
    </row>
    <row r="366" spans="1:3" ht="15.75" customHeight="1">
      <c r="A366" s="502" t="s">
        <v>1119</v>
      </c>
      <c r="B366" s="503" t="s">
        <v>5920</v>
      </c>
      <c r="C366" s="504">
        <v>103750.8</v>
      </c>
    </row>
    <row r="367" spans="1:3" ht="15.75" customHeight="1">
      <c r="A367" s="502" t="s">
        <v>613</v>
      </c>
      <c r="B367" s="503" t="s">
        <v>5921</v>
      </c>
      <c r="C367" s="504">
        <v>103190.46</v>
      </c>
    </row>
    <row r="368" spans="1:3" ht="15.75" customHeight="1">
      <c r="A368" s="502" t="s">
        <v>699</v>
      </c>
      <c r="B368" s="503" t="s">
        <v>5528</v>
      </c>
      <c r="C368" s="504">
        <v>102609.88</v>
      </c>
    </row>
    <row r="369" spans="1:3" ht="15.75" customHeight="1">
      <c r="A369" s="502" t="s">
        <v>28</v>
      </c>
      <c r="B369" s="503" t="s">
        <v>5658</v>
      </c>
      <c r="C369" s="504">
        <v>102342.6</v>
      </c>
    </row>
    <row r="370" spans="1:3" ht="15.75" customHeight="1">
      <c r="A370" s="502" t="s">
        <v>174</v>
      </c>
      <c r="B370" s="503" t="s">
        <v>5922</v>
      </c>
      <c r="C370" s="504">
        <v>102191.33</v>
      </c>
    </row>
    <row r="371" spans="1:3" ht="15.75" customHeight="1">
      <c r="A371" s="502" t="s">
        <v>1620</v>
      </c>
      <c r="B371" s="503" t="s">
        <v>5544</v>
      </c>
      <c r="C371" s="504">
        <v>101441.12</v>
      </c>
    </row>
    <row r="372" spans="1:3" ht="15.75" customHeight="1">
      <c r="A372" s="502" t="s">
        <v>1115</v>
      </c>
      <c r="B372" s="503" t="s">
        <v>5923</v>
      </c>
      <c r="C372" s="504">
        <v>101094.59</v>
      </c>
    </row>
    <row r="373" spans="1:3" ht="15.75" customHeight="1">
      <c r="A373" s="502" t="s">
        <v>1361</v>
      </c>
      <c r="B373" s="503" t="s">
        <v>5799</v>
      </c>
      <c r="C373" s="504">
        <v>99883.77</v>
      </c>
    </row>
    <row r="374" spans="1:3" ht="15.75" customHeight="1">
      <c r="A374" s="502" t="s">
        <v>2440</v>
      </c>
      <c r="B374" s="503" t="s">
        <v>5690</v>
      </c>
      <c r="C374" s="504">
        <v>99570.69</v>
      </c>
    </row>
    <row r="375" spans="1:3" ht="15.75" customHeight="1">
      <c r="A375" s="502" t="s">
        <v>2079</v>
      </c>
      <c r="B375" s="503" t="s">
        <v>5924</v>
      </c>
      <c r="C375" s="504">
        <v>99436.52</v>
      </c>
    </row>
    <row r="376" spans="1:3" ht="15.75" customHeight="1">
      <c r="A376" s="502" t="s">
        <v>2736</v>
      </c>
      <c r="B376" s="503" t="s">
        <v>5633</v>
      </c>
      <c r="C376" s="504">
        <v>98051.42</v>
      </c>
    </row>
    <row r="377" spans="1:3" ht="15.75" customHeight="1">
      <c r="A377" s="502" t="s">
        <v>2421</v>
      </c>
      <c r="B377" s="503" t="s">
        <v>5925</v>
      </c>
      <c r="C377" s="504">
        <v>97224.99</v>
      </c>
    </row>
    <row r="378" spans="1:3" ht="15.75" customHeight="1">
      <c r="A378" s="502" t="s">
        <v>642</v>
      </c>
      <c r="B378" s="503" t="s">
        <v>5755</v>
      </c>
      <c r="C378" s="504">
        <v>96845.56</v>
      </c>
    </row>
    <row r="379" spans="1:3" ht="15.75" customHeight="1">
      <c r="A379" s="502" t="s">
        <v>728</v>
      </c>
      <c r="B379" s="503" t="s">
        <v>5804</v>
      </c>
      <c r="C379" s="504">
        <v>95893.38</v>
      </c>
    </row>
    <row r="380" spans="1:3" ht="15.75" customHeight="1">
      <c r="A380" s="502" t="s">
        <v>2672</v>
      </c>
      <c r="B380" s="503" t="s">
        <v>5670</v>
      </c>
      <c r="C380" s="504">
        <v>94405.42</v>
      </c>
    </row>
    <row r="381" spans="1:3" ht="15.75" customHeight="1">
      <c r="A381" s="502" t="s">
        <v>543</v>
      </c>
      <c r="B381" s="503" t="s">
        <v>5445</v>
      </c>
      <c r="C381" s="504">
        <v>94247.86</v>
      </c>
    </row>
    <row r="382" spans="1:3" ht="15.75" customHeight="1">
      <c r="A382" s="502" t="s">
        <v>833</v>
      </c>
      <c r="B382" s="503" t="s">
        <v>5631</v>
      </c>
      <c r="C382" s="504">
        <v>93325.49</v>
      </c>
    </row>
    <row r="383" spans="1:3" ht="15.75" customHeight="1">
      <c r="A383" s="502" t="s">
        <v>1826</v>
      </c>
      <c r="B383" s="503" t="s">
        <v>5518</v>
      </c>
      <c r="C383" s="504">
        <v>93122.41</v>
      </c>
    </row>
    <row r="384" spans="1:3" ht="15.75" customHeight="1">
      <c r="A384" s="502" t="s">
        <v>2345</v>
      </c>
      <c r="B384" s="503" t="s">
        <v>5675</v>
      </c>
      <c r="C384" s="504">
        <v>92262.12</v>
      </c>
    </row>
    <row r="385" spans="1:3" ht="15.75" customHeight="1">
      <c r="A385" s="502" t="s">
        <v>997</v>
      </c>
      <c r="B385" s="503" t="s">
        <v>5926</v>
      </c>
      <c r="C385" s="504">
        <v>91556.479999999996</v>
      </c>
    </row>
    <row r="386" spans="1:3" ht="15.75" customHeight="1">
      <c r="A386" s="502" t="s">
        <v>2884</v>
      </c>
      <c r="B386" s="503" t="s">
        <v>5927</v>
      </c>
      <c r="C386" s="504">
        <v>90064.48</v>
      </c>
    </row>
    <row r="387" spans="1:3" ht="15.75" customHeight="1">
      <c r="A387" s="502" t="s">
        <v>2754</v>
      </c>
      <c r="B387" s="503" t="s">
        <v>5763</v>
      </c>
      <c r="C387" s="504">
        <v>88684.25</v>
      </c>
    </row>
    <row r="388" spans="1:3" ht="15.75" customHeight="1">
      <c r="A388" s="502" t="s">
        <v>164</v>
      </c>
      <c r="B388" s="503" t="s">
        <v>5532</v>
      </c>
      <c r="C388" s="504">
        <v>85805.48</v>
      </c>
    </row>
    <row r="389" spans="1:3" ht="15.75" customHeight="1">
      <c r="A389" s="502" t="s">
        <v>1498</v>
      </c>
      <c r="B389" s="503" t="s">
        <v>5459</v>
      </c>
      <c r="C389" s="504">
        <v>83034.64</v>
      </c>
    </row>
    <row r="390" spans="1:3" ht="15.75" customHeight="1">
      <c r="A390" s="502" t="s">
        <v>5928</v>
      </c>
      <c r="B390" s="503" t="s">
        <v>5485</v>
      </c>
      <c r="C390" s="504">
        <v>82272.28</v>
      </c>
    </row>
    <row r="391" spans="1:3" ht="15.75" customHeight="1">
      <c r="A391" s="502" t="s">
        <v>1370</v>
      </c>
      <c r="B391" s="503" t="s">
        <v>5834</v>
      </c>
      <c r="C391" s="504">
        <v>82202.289999999994</v>
      </c>
    </row>
    <row r="392" spans="1:3" ht="15.75" customHeight="1">
      <c r="A392" s="502" t="s">
        <v>320</v>
      </c>
      <c r="B392" s="503" t="s">
        <v>5485</v>
      </c>
      <c r="C392" s="504">
        <v>79448.66</v>
      </c>
    </row>
    <row r="393" spans="1:3" ht="15.75" customHeight="1">
      <c r="A393" s="502" t="s">
        <v>910</v>
      </c>
      <c r="B393" s="503" t="s">
        <v>5929</v>
      </c>
      <c r="C393" s="504">
        <v>78804.41</v>
      </c>
    </row>
    <row r="394" spans="1:3" ht="15.75" customHeight="1">
      <c r="A394" s="502" t="s">
        <v>2480</v>
      </c>
      <c r="B394" s="503" t="s">
        <v>5497</v>
      </c>
      <c r="C394" s="504">
        <v>78734.929999999993</v>
      </c>
    </row>
    <row r="395" spans="1:3" ht="15.75" customHeight="1">
      <c r="A395" s="502" t="s">
        <v>944</v>
      </c>
      <c r="B395" s="503" t="s">
        <v>5904</v>
      </c>
      <c r="C395" s="504">
        <v>74935.86</v>
      </c>
    </row>
    <row r="396" spans="1:3" ht="15.75" customHeight="1">
      <c r="A396" s="502" t="s">
        <v>2239</v>
      </c>
      <c r="B396" s="503" t="s">
        <v>5580</v>
      </c>
      <c r="C396" s="504">
        <v>74371.64</v>
      </c>
    </row>
    <row r="397" spans="1:3" ht="15.75" customHeight="1">
      <c r="A397" s="502" t="s">
        <v>448</v>
      </c>
      <c r="B397" s="503" t="s">
        <v>5930</v>
      </c>
      <c r="C397" s="504">
        <v>74194.960000000006</v>
      </c>
    </row>
    <row r="398" spans="1:3" ht="15.75" customHeight="1">
      <c r="A398" s="502" t="s">
        <v>1575</v>
      </c>
      <c r="B398" s="503" t="s">
        <v>5931</v>
      </c>
      <c r="C398" s="504">
        <v>73810</v>
      </c>
    </row>
    <row r="399" spans="1:3" ht="15.75" customHeight="1">
      <c r="A399" s="502" t="s">
        <v>2820</v>
      </c>
      <c r="B399" s="503" t="s">
        <v>5932</v>
      </c>
      <c r="C399" s="504">
        <v>72390.789999999994</v>
      </c>
    </row>
    <row r="400" spans="1:3" ht="15.75" customHeight="1">
      <c r="A400" s="502" t="s">
        <v>800</v>
      </c>
      <c r="B400" s="503" t="s">
        <v>5933</v>
      </c>
      <c r="C400" s="504">
        <v>71964.05</v>
      </c>
    </row>
    <row r="401" spans="1:3" ht="15.75" customHeight="1">
      <c r="A401" s="502" t="s">
        <v>2731</v>
      </c>
      <c r="B401" s="503" t="s">
        <v>5934</v>
      </c>
      <c r="C401" s="504">
        <v>70245.58</v>
      </c>
    </row>
    <row r="402" spans="1:3" ht="15.75" customHeight="1">
      <c r="A402" s="502" t="s">
        <v>1851</v>
      </c>
      <c r="B402" s="503" t="s">
        <v>5935</v>
      </c>
      <c r="C402" s="504">
        <v>69195.64</v>
      </c>
    </row>
    <row r="403" spans="1:3" ht="15.75" customHeight="1">
      <c r="A403" s="502" t="s">
        <v>2504</v>
      </c>
      <c r="B403" s="503" t="s">
        <v>5770</v>
      </c>
      <c r="C403" s="504">
        <v>69029.61</v>
      </c>
    </row>
    <row r="404" spans="1:3" ht="15.75" customHeight="1">
      <c r="A404" s="502" t="s">
        <v>2588</v>
      </c>
      <c r="B404" s="503" t="s">
        <v>5903</v>
      </c>
      <c r="C404" s="504">
        <v>67131.899999999994</v>
      </c>
    </row>
    <row r="405" spans="1:3" ht="15.75" customHeight="1">
      <c r="A405" s="502" t="s">
        <v>962</v>
      </c>
      <c r="B405" s="503" t="s">
        <v>5889</v>
      </c>
      <c r="C405" s="504">
        <v>66448.320000000007</v>
      </c>
    </row>
    <row r="406" spans="1:3" ht="15.75" customHeight="1">
      <c r="A406" s="502" t="s">
        <v>2654</v>
      </c>
      <c r="B406" s="503" t="s">
        <v>5936</v>
      </c>
      <c r="C406" s="504">
        <v>65565.59</v>
      </c>
    </row>
    <row r="407" spans="1:3" ht="15.75" customHeight="1">
      <c r="A407" s="502" t="s">
        <v>1068</v>
      </c>
      <c r="B407" s="503" t="s">
        <v>5937</v>
      </c>
      <c r="C407" s="504">
        <v>64247.02</v>
      </c>
    </row>
    <row r="408" spans="1:3" ht="15.75" customHeight="1">
      <c r="A408" s="502" t="s">
        <v>1410</v>
      </c>
      <c r="B408" s="503" t="s">
        <v>5938</v>
      </c>
      <c r="C408" s="504">
        <v>62674.6</v>
      </c>
    </row>
    <row r="409" spans="1:3" ht="15.75" customHeight="1">
      <c r="A409" s="502" t="s">
        <v>1064</v>
      </c>
      <c r="B409" s="503" t="s">
        <v>5937</v>
      </c>
      <c r="C409" s="504">
        <v>62056.02</v>
      </c>
    </row>
    <row r="410" spans="1:3" ht="15.75" customHeight="1">
      <c r="A410" s="502" t="s">
        <v>632</v>
      </c>
      <c r="B410" s="503" t="s">
        <v>5939</v>
      </c>
      <c r="C410" s="504">
        <v>59723.16</v>
      </c>
    </row>
    <row r="411" spans="1:3" ht="15.75" customHeight="1">
      <c r="A411" s="502" t="s">
        <v>2507</v>
      </c>
      <c r="B411" s="503" t="s">
        <v>5770</v>
      </c>
      <c r="C411" s="504">
        <v>59191.67</v>
      </c>
    </row>
    <row r="412" spans="1:3" ht="15.75" customHeight="1">
      <c r="A412" s="502" t="s">
        <v>1188</v>
      </c>
      <c r="B412" s="503" t="s">
        <v>5919</v>
      </c>
      <c r="C412" s="504">
        <v>59029.01</v>
      </c>
    </row>
    <row r="413" spans="1:3" ht="15.75" customHeight="1">
      <c r="A413" s="502" t="s">
        <v>2581</v>
      </c>
      <c r="B413" s="503" t="s">
        <v>5940</v>
      </c>
      <c r="C413" s="504">
        <v>57976.35</v>
      </c>
    </row>
    <row r="414" spans="1:3" ht="15.75" customHeight="1">
      <c r="A414" s="502" t="s">
        <v>1836</v>
      </c>
      <c r="B414" s="503" t="s">
        <v>5941</v>
      </c>
      <c r="C414" s="504">
        <v>57787.63</v>
      </c>
    </row>
    <row r="415" spans="1:3" ht="15.75" customHeight="1">
      <c r="A415" s="502" t="s">
        <v>1420</v>
      </c>
      <c r="B415" s="503" t="s">
        <v>5653</v>
      </c>
      <c r="C415" s="504">
        <v>54897.72</v>
      </c>
    </row>
    <row r="416" spans="1:3" ht="15.75" customHeight="1">
      <c r="A416" s="502" t="s">
        <v>348</v>
      </c>
      <c r="B416" s="503" t="s">
        <v>5475</v>
      </c>
      <c r="C416" s="504">
        <v>53283.66</v>
      </c>
    </row>
    <row r="417" spans="1:3" ht="15.75" customHeight="1">
      <c r="A417" s="502" t="s">
        <v>952</v>
      </c>
      <c r="B417" s="503" t="s">
        <v>5942</v>
      </c>
      <c r="C417" s="504">
        <v>53193.55</v>
      </c>
    </row>
    <row r="418" spans="1:3" ht="15.75" customHeight="1">
      <c r="A418" s="502" t="s">
        <v>884</v>
      </c>
      <c r="B418" s="503" t="s">
        <v>5943</v>
      </c>
      <c r="C418" s="504">
        <v>52410.65</v>
      </c>
    </row>
    <row r="419" spans="1:3" ht="15.75" customHeight="1">
      <c r="A419" s="502" t="s">
        <v>2193</v>
      </c>
      <c r="B419" s="503" t="s">
        <v>5944</v>
      </c>
      <c r="C419" s="504">
        <v>51282.28</v>
      </c>
    </row>
    <row r="420" spans="1:3" ht="15.75" customHeight="1">
      <c r="A420" s="502" t="s">
        <v>1671</v>
      </c>
      <c r="B420" s="503" t="s">
        <v>5945</v>
      </c>
      <c r="C420" s="504">
        <v>50722.71</v>
      </c>
    </row>
    <row r="421" spans="1:3" ht="15.75" customHeight="1">
      <c r="A421" s="502" t="s">
        <v>2787</v>
      </c>
      <c r="B421" s="503" t="s">
        <v>5946</v>
      </c>
      <c r="C421" s="504">
        <v>50224.51</v>
      </c>
    </row>
    <row r="422" spans="1:3" ht="15.75" customHeight="1">
      <c r="A422" s="502" t="s">
        <v>654</v>
      </c>
      <c r="B422" s="503" t="s">
        <v>5887</v>
      </c>
      <c r="C422" s="504">
        <v>50106.9</v>
      </c>
    </row>
    <row r="423" spans="1:3" ht="15.75" customHeight="1">
      <c r="A423" s="502" t="s">
        <v>5947</v>
      </c>
      <c r="B423" s="503" t="s">
        <v>5516</v>
      </c>
      <c r="C423" s="504">
        <v>49243.53</v>
      </c>
    </row>
    <row r="424" spans="1:3" ht="15.75" customHeight="1">
      <c r="A424" s="502" t="s">
        <v>2739</v>
      </c>
      <c r="B424" s="503" t="s">
        <v>5633</v>
      </c>
      <c r="C424" s="504">
        <v>48686.26</v>
      </c>
    </row>
    <row r="425" spans="1:3" ht="15.75" customHeight="1">
      <c r="A425" s="502" t="s">
        <v>1457</v>
      </c>
      <c r="B425" s="503" t="s">
        <v>5948</v>
      </c>
      <c r="C425" s="504">
        <v>48559.74</v>
      </c>
    </row>
    <row r="426" spans="1:3" ht="15.75" customHeight="1">
      <c r="A426" s="502" t="s">
        <v>1726</v>
      </c>
      <c r="B426" s="503" t="s">
        <v>5809</v>
      </c>
      <c r="C426" s="504">
        <v>48127.08</v>
      </c>
    </row>
    <row r="427" spans="1:3" ht="15.75" customHeight="1">
      <c r="A427" s="502" t="s">
        <v>2358</v>
      </c>
      <c r="B427" s="503" t="s">
        <v>5437</v>
      </c>
      <c r="C427" s="504">
        <v>47729.21</v>
      </c>
    </row>
    <row r="428" spans="1:3" ht="15.75" customHeight="1">
      <c r="A428" s="502" t="s">
        <v>1674</v>
      </c>
      <c r="B428" s="503" t="s">
        <v>5945</v>
      </c>
      <c r="C428" s="504">
        <v>46046.91</v>
      </c>
    </row>
    <row r="429" spans="1:3" ht="15.75" customHeight="1">
      <c r="A429" s="502" t="s">
        <v>2060</v>
      </c>
      <c r="B429" s="503" t="s">
        <v>5628</v>
      </c>
      <c r="C429" s="504">
        <v>45240.05</v>
      </c>
    </row>
    <row r="430" spans="1:3" ht="15.75" customHeight="1">
      <c r="A430" s="502" t="s">
        <v>1191</v>
      </c>
      <c r="B430" s="503" t="s">
        <v>5949</v>
      </c>
      <c r="C430" s="504">
        <v>44900.42</v>
      </c>
    </row>
    <row r="431" spans="1:3" ht="15.75" customHeight="1">
      <c r="A431" s="502" t="s">
        <v>704</v>
      </c>
      <c r="B431" s="503" t="s">
        <v>5528</v>
      </c>
      <c r="C431" s="504">
        <v>44667.43</v>
      </c>
    </row>
    <row r="432" spans="1:3" ht="15.75" customHeight="1">
      <c r="A432" s="502" t="s">
        <v>5950</v>
      </c>
      <c r="B432" s="503" t="s">
        <v>5904</v>
      </c>
      <c r="C432" s="504">
        <v>42746.47</v>
      </c>
    </row>
    <row r="433" spans="1:3" ht="15.75" customHeight="1">
      <c r="A433" s="502" t="s">
        <v>2496</v>
      </c>
      <c r="B433" s="503" t="s">
        <v>5770</v>
      </c>
      <c r="C433" s="504">
        <v>40289.360000000001</v>
      </c>
    </row>
    <row r="434" spans="1:3" ht="15.75" customHeight="1">
      <c r="A434" s="502" t="s">
        <v>380</v>
      </c>
      <c r="B434" s="503" t="s">
        <v>5951</v>
      </c>
      <c r="C434" s="504">
        <v>40032.65</v>
      </c>
    </row>
    <row r="435" spans="1:3" ht="15.75" customHeight="1">
      <c r="A435" s="502" t="s">
        <v>1632</v>
      </c>
      <c r="B435" s="503" t="s">
        <v>5468</v>
      </c>
      <c r="C435" s="504">
        <v>38697.06</v>
      </c>
    </row>
    <row r="436" spans="1:3" ht="15.75" customHeight="1">
      <c r="A436" s="502" t="s">
        <v>396</v>
      </c>
      <c r="B436" s="503" t="s">
        <v>5952</v>
      </c>
      <c r="C436" s="504">
        <v>37448.78</v>
      </c>
    </row>
    <row r="437" spans="1:3" ht="15.75" customHeight="1">
      <c r="A437" s="502" t="s">
        <v>1610</v>
      </c>
      <c r="B437" s="503" t="s">
        <v>5647</v>
      </c>
      <c r="C437" s="504">
        <v>37162.29</v>
      </c>
    </row>
    <row r="438" spans="1:3" ht="15.75" customHeight="1">
      <c r="A438" s="502" t="s">
        <v>1566</v>
      </c>
      <c r="B438" s="503" t="s">
        <v>5953</v>
      </c>
      <c r="C438" s="504">
        <v>36927.18</v>
      </c>
    </row>
    <row r="439" spans="1:3" ht="15.75" customHeight="1">
      <c r="A439" s="502" t="s">
        <v>2687</v>
      </c>
      <c r="B439" s="503" t="s">
        <v>5954</v>
      </c>
      <c r="C439" s="504">
        <v>36748.379999999997</v>
      </c>
    </row>
    <row r="440" spans="1:3" ht="15.75" customHeight="1">
      <c r="A440" s="502" t="s">
        <v>1378</v>
      </c>
      <c r="B440" s="503" t="s">
        <v>5955</v>
      </c>
      <c r="C440" s="504">
        <v>35415.410000000003</v>
      </c>
    </row>
    <row r="441" spans="1:3" ht="15.75" customHeight="1">
      <c r="A441" s="502" t="s">
        <v>2004</v>
      </c>
      <c r="B441" s="503" t="s">
        <v>5956</v>
      </c>
      <c r="C441" s="504">
        <v>35227.4</v>
      </c>
    </row>
    <row r="442" spans="1:3" ht="15.75" customHeight="1">
      <c r="A442" s="502" t="s">
        <v>790</v>
      </c>
      <c r="B442" s="503" t="s">
        <v>5431</v>
      </c>
      <c r="C442" s="504">
        <v>34860.550000000003</v>
      </c>
    </row>
    <row r="443" spans="1:3" ht="15.75" customHeight="1">
      <c r="A443" s="502" t="s">
        <v>2575</v>
      </c>
      <c r="B443" s="503" t="s">
        <v>5913</v>
      </c>
      <c r="C443" s="504">
        <v>34485.120000000003</v>
      </c>
    </row>
    <row r="444" spans="1:3" ht="15.75" customHeight="1">
      <c r="A444" s="502" t="s">
        <v>5957</v>
      </c>
      <c r="B444" s="503" t="s">
        <v>5958</v>
      </c>
      <c r="C444" s="504">
        <v>32186.23</v>
      </c>
    </row>
    <row r="445" spans="1:3" ht="15.75" customHeight="1">
      <c r="A445" s="502" t="s">
        <v>5959</v>
      </c>
      <c r="B445" s="503" t="s">
        <v>5960</v>
      </c>
      <c r="C445" s="504">
        <v>31880.11</v>
      </c>
    </row>
    <row r="446" spans="1:3" ht="15.75" customHeight="1">
      <c r="A446" s="502" t="s">
        <v>2817</v>
      </c>
      <c r="B446" s="503" t="s">
        <v>5932</v>
      </c>
      <c r="C446" s="504">
        <v>30525.69</v>
      </c>
    </row>
    <row r="447" spans="1:3" ht="15.75" customHeight="1">
      <c r="A447" s="502" t="s">
        <v>1229</v>
      </c>
      <c r="B447" s="503" t="s">
        <v>5961</v>
      </c>
      <c r="C447" s="504">
        <v>30358.560000000001</v>
      </c>
    </row>
    <row r="448" spans="1:3" ht="15.75" customHeight="1">
      <c r="A448" s="502" t="s">
        <v>264</v>
      </c>
      <c r="B448" s="503" t="s">
        <v>5962</v>
      </c>
      <c r="C448" s="504">
        <v>30294.13</v>
      </c>
    </row>
    <row r="449" spans="1:3" ht="15.75" customHeight="1">
      <c r="A449" s="502" t="s">
        <v>370</v>
      </c>
      <c r="B449" s="503" t="s">
        <v>5583</v>
      </c>
      <c r="C449" s="504">
        <v>29870.1</v>
      </c>
    </row>
    <row r="450" spans="1:3" ht="15.75" customHeight="1">
      <c r="A450" s="502" t="s">
        <v>803</v>
      </c>
      <c r="B450" s="503" t="s">
        <v>5963</v>
      </c>
      <c r="C450" s="504">
        <v>29335.99</v>
      </c>
    </row>
    <row r="451" spans="1:3" ht="15.75" customHeight="1">
      <c r="A451" s="502" t="s">
        <v>2025</v>
      </c>
      <c r="B451" s="503" t="s">
        <v>5892</v>
      </c>
      <c r="C451" s="504">
        <v>28613.85</v>
      </c>
    </row>
    <row r="452" spans="1:3" ht="15.75" customHeight="1">
      <c r="A452" s="502" t="s">
        <v>1355</v>
      </c>
      <c r="B452" s="503" t="s">
        <v>5964</v>
      </c>
      <c r="C452" s="504">
        <v>28195.06</v>
      </c>
    </row>
    <row r="453" spans="1:3" ht="15.75" customHeight="1">
      <c r="A453" s="502" t="s">
        <v>515</v>
      </c>
      <c r="B453" s="503" t="s">
        <v>5965</v>
      </c>
      <c r="C453" s="504">
        <v>28126.47</v>
      </c>
    </row>
    <row r="454" spans="1:3" ht="15.75" customHeight="1">
      <c r="A454" s="502" t="s">
        <v>2151</v>
      </c>
      <c r="B454" s="503" t="s">
        <v>5966</v>
      </c>
      <c r="C454" s="504">
        <v>27918.01</v>
      </c>
    </row>
    <row r="455" spans="1:3" ht="15.75" customHeight="1">
      <c r="A455" s="502" t="s">
        <v>1159</v>
      </c>
      <c r="B455" s="503" t="s">
        <v>5902</v>
      </c>
      <c r="C455" s="504">
        <v>24695.15</v>
      </c>
    </row>
    <row r="456" spans="1:3" ht="15.75" customHeight="1">
      <c r="A456" s="502" t="s">
        <v>1448</v>
      </c>
      <c r="B456" s="503" t="s">
        <v>5967</v>
      </c>
      <c r="C456" s="504">
        <v>24684.2</v>
      </c>
    </row>
    <row r="457" spans="1:3" ht="15.75" customHeight="1">
      <c r="A457" s="502" t="s">
        <v>5968</v>
      </c>
      <c r="B457" s="503" t="s">
        <v>5653</v>
      </c>
      <c r="C457" s="504">
        <v>24295.88</v>
      </c>
    </row>
    <row r="458" spans="1:3" ht="15.75" customHeight="1">
      <c r="A458" s="502" t="s">
        <v>2298</v>
      </c>
      <c r="B458" s="503" t="s">
        <v>5516</v>
      </c>
      <c r="C458" s="504">
        <v>24277.14</v>
      </c>
    </row>
    <row r="459" spans="1:3" ht="15.75" customHeight="1">
      <c r="A459" s="502" t="s">
        <v>838</v>
      </c>
      <c r="B459" s="503" t="s">
        <v>5631</v>
      </c>
      <c r="C459" s="504">
        <v>22756.27</v>
      </c>
    </row>
    <row r="460" spans="1:3" ht="15.75" customHeight="1">
      <c r="A460" s="502" t="s">
        <v>2626</v>
      </c>
      <c r="B460" s="503" t="s">
        <v>5969</v>
      </c>
      <c r="C460" s="504">
        <v>22027.24</v>
      </c>
    </row>
    <row r="461" spans="1:3" ht="15.75" customHeight="1">
      <c r="A461" s="502" t="s">
        <v>2423</v>
      </c>
      <c r="B461" s="503" t="s">
        <v>5970</v>
      </c>
      <c r="C461" s="504">
        <v>21820.74</v>
      </c>
    </row>
    <row r="462" spans="1:3" ht="15.75" customHeight="1">
      <c r="A462" s="502" t="s">
        <v>293</v>
      </c>
      <c r="B462" s="503" t="s">
        <v>5485</v>
      </c>
      <c r="C462" s="504">
        <v>21645.3</v>
      </c>
    </row>
    <row r="463" spans="1:3" ht="15.75" customHeight="1">
      <c r="A463" s="502" t="s">
        <v>1810</v>
      </c>
      <c r="B463" s="503" t="s">
        <v>5518</v>
      </c>
      <c r="C463" s="504">
        <v>20526.07</v>
      </c>
    </row>
    <row r="464" spans="1:3" ht="15.75" customHeight="1">
      <c r="A464" s="502" t="s">
        <v>131</v>
      </c>
      <c r="B464" s="503" t="s">
        <v>5900</v>
      </c>
      <c r="C464" s="504">
        <v>20041.86</v>
      </c>
    </row>
    <row r="465" spans="1:3" ht="15.75" customHeight="1">
      <c r="A465" s="502" t="s">
        <v>506</v>
      </c>
      <c r="B465" s="503" t="s">
        <v>5971</v>
      </c>
      <c r="C465" s="504">
        <v>20036.400000000001</v>
      </c>
    </row>
    <row r="466" spans="1:3" ht="15.75" customHeight="1">
      <c r="A466" s="502" t="s">
        <v>1107</v>
      </c>
      <c r="B466" s="503" t="s">
        <v>5725</v>
      </c>
      <c r="C466" s="504">
        <v>19166.240000000002</v>
      </c>
    </row>
    <row r="467" spans="1:3" ht="15.75" customHeight="1">
      <c r="A467" s="502" t="s">
        <v>2727</v>
      </c>
      <c r="B467" s="503" t="s">
        <v>5934</v>
      </c>
      <c r="C467" s="504">
        <v>18330</v>
      </c>
    </row>
    <row r="468" spans="1:3" ht="15.75" customHeight="1">
      <c r="A468" s="502" t="s">
        <v>2033</v>
      </c>
      <c r="B468" s="503" t="s">
        <v>5905</v>
      </c>
      <c r="C468" s="504">
        <v>15164.57</v>
      </c>
    </row>
    <row r="469" spans="1:3" ht="15.75" customHeight="1">
      <c r="A469" s="502" t="s">
        <v>1172</v>
      </c>
      <c r="B469" s="503" t="s">
        <v>5902</v>
      </c>
      <c r="C469" s="504">
        <v>15119.81</v>
      </c>
    </row>
    <row r="470" spans="1:3" ht="15.75" customHeight="1">
      <c r="A470" s="502" t="s">
        <v>2056</v>
      </c>
      <c r="B470" s="503" t="s">
        <v>5628</v>
      </c>
      <c r="C470" s="504">
        <v>13880.76</v>
      </c>
    </row>
    <row r="471" spans="1:3" ht="15.75" customHeight="1">
      <c r="A471" s="502" t="s">
        <v>463</v>
      </c>
      <c r="B471" s="503" t="s">
        <v>5781</v>
      </c>
      <c r="C471" s="504">
        <v>12598.26</v>
      </c>
    </row>
    <row r="472" spans="1:3" ht="15.75" customHeight="1">
      <c r="A472" s="502" t="s">
        <v>1791</v>
      </c>
      <c r="B472" s="503" t="s">
        <v>5972</v>
      </c>
      <c r="C472" s="504">
        <v>11941.34</v>
      </c>
    </row>
    <row r="473" spans="1:3" ht="15.75" customHeight="1">
      <c r="A473" s="502" t="s">
        <v>1817</v>
      </c>
      <c r="B473" s="503" t="s">
        <v>5518</v>
      </c>
      <c r="C473" s="504">
        <v>10526.91</v>
      </c>
    </row>
    <row r="474" spans="1:3" ht="15.75" customHeight="1">
      <c r="A474" s="502" t="s">
        <v>5973</v>
      </c>
      <c r="B474" s="503" t="s">
        <v>5974</v>
      </c>
      <c r="C474" s="504">
        <v>10433.6</v>
      </c>
    </row>
    <row r="475" spans="1:3" ht="15.75" customHeight="1">
      <c r="A475" s="502" t="s">
        <v>5975</v>
      </c>
      <c r="B475" s="503" t="s">
        <v>5453</v>
      </c>
      <c r="C475" s="504">
        <v>9106.31</v>
      </c>
    </row>
    <row r="476" spans="1:3" ht="15.75" customHeight="1">
      <c r="A476" s="502" t="s">
        <v>5976</v>
      </c>
      <c r="B476" s="503" t="s">
        <v>5977</v>
      </c>
      <c r="C476" s="504">
        <v>8384.98</v>
      </c>
    </row>
    <row r="477" spans="1:3" ht="15.75" customHeight="1">
      <c r="A477" s="502" t="s">
        <v>2791</v>
      </c>
      <c r="B477" s="503" t="s">
        <v>5946</v>
      </c>
      <c r="C477" s="504">
        <v>7757.25</v>
      </c>
    </row>
    <row r="478" spans="1:3" ht="15.75" customHeight="1">
      <c r="A478" s="502" t="s">
        <v>469</v>
      </c>
      <c r="B478" s="503" t="s">
        <v>5781</v>
      </c>
      <c r="C478" s="504">
        <v>7548.35</v>
      </c>
    </row>
    <row r="479" spans="1:3" ht="15.75" customHeight="1">
      <c r="A479" s="502" t="s">
        <v>2681</v>
      </c>
      <c r="B479" s="503" t="s">
        <v>5978</v>
      </c>
      <c r="C479" s="504">
        <v>7155.06</v>
      </c>
    </row>
    <row r="480" spans="1:3" ht="15.75" customHeight="1">
      <c r="A480" s="502" t="s">
        <v>2396</v>
      </c>
      <c r="B480" s="503" t="s">
        <v>5979</v>
      </c>
      <c r="C480" s="504">
        <v>6343.79</v>
      </c>
    </row>
    <row r="481" spans="1:3" ht="15.75" customHeight="1">
      <c r="A481" s="502" t="s">
        <v>1769</v>
      </c>
      <c r="B481" s="503" t="s">
        <v>5692</v>
      </c>
      <c r="C481" s="504">
        <v>6177.43</v>
      </c>
    </row>
    <row r="482" spans="1:3" ht="15.75" customHeight="1">
      <c r="A482" s="502" t="s">
        <v>5980</v>
      </c>
      <c r="B482" s="503" t="s">
        <v>5457</v>
      </c>
      <c r="C482" s="504">
        <v>5815.84</v>
      </c>
    </row>
    <row r="483" spans="1:3" ht="15.75" customHeight="1">
      <c r="A483" s="502" t="s">
        <v>5981</v>
      </c>
      <c r="B483" s="503" t="s">
        <v>5982</v>
      </c>
      <c r="C483" s="504">
        <v>5631.57</v>
      </c>
    </row>
    <row r="484" spans="1:3" ht="15.75" customHeight="1">
      <c r="A484" s="502" t="s">
        <v>2266</v>
      </c>
      <c r="B484" s="503" t="s">
        <v>5664</v>
      </c>
      <c r="C484" s="504">
        <v>5299.98</v>
      </c>
    </row>
    <row r="485" spans="1:3" ht="15.75" customHeight="1">
      <c r="A485" s="502" t="s">
        <v>496</v>
      </c>
      <c r="B485" s="503" t="s">
        <v>5983</v>
      </c>
      <c r="C485" s="504">
        <v>5280.61</v>
      </c>
    </row>
    <row r="486" spans="1:3" ht="15.75" customHeight="1">
      <c r="A486" s="502" t="s">
        <v>5984</v>
      </c>
      <c r="B486" s="503" t="s">
        <v>5985</v>
      </c>
      <c r="C486" s="504">
        <v>5135.67</v>
      </c>
    </row>
    <row r="487" spans="1:3" ht="15.75" customHeight="1">
      <c r="A487" s="502" t="s">
        <v>154</v>
      </c>
      <c r="B487" s="503" t="s">
        <v>5986</v>
      </c>
      <c r="C487" s="504">
        <v>5009.4799999999996</v>
      </c>
    </row>
    <row r="488" spans="1:3" ht="15.75" customHeight="1">
      <c r="A488" s="502" t="s">
        <v>1685</v>
      </c>
      <c r="B488" s="503" t="s">
        <v>5987</v>
      </c>
      <c r="C488" s="504">
        <v>5001.43</v>
      </c>
    </row>
    <row r="489" spans="1:3" ht="15.75" customHeight="1">
      <c r="A489" s="502" t="s">
        <v>5988</v>
      </c>
      <c r="B489" s="503" t="s">
        <v>5989</v>
      </c>
      <c r="C489" s="504">
        <v>4821.1099999999997</v>
      </c>
    </row>
    <row r="490" spans="1:3" ht="15.75" customHeight="1">
      <c r="A490" s="502" t="s">
        <v>1382</v>
      </c>
      <c r="B490" s="503" t="s">
        <v>5990</v>
      </c>
      <c r="C490" s="504">
        <v>4801.28</v>
      </c>
    </row>
    <row r="491" spans="1:3" ht="15.75" customHeight="1">
      <c r="A491" s="502" t="s">
        <v>5991</v>
      </c>
      <c r="B491" s="503" t="s">
        <v>5972</v>
      </c>
      <c r="C491" s="504">
        <v>4721.13</v>
      </c>
    </row>
    <row r="492" spans="1:3" ht="15.75" customHeight="1">
      <c r="A492" s="502" t="s">
        <v>525</v>
      </c>
      <c r="B492" s="503" t="s">
        <v>5445</v>
      </c>
      <c r="C492" s="504">
        <v>4632.74</v>
      </c>
    </row>
    <row r="493" spans="1:3" ht="15.75" customHeight="1">
      <c r="A493" s="502" t="s">
        <v>2170</v>
      </c>
      <c r="B493" s="503" t="s">
        <v>5992</v>
      </c>
      <c r="C493" s="504">
        <v>4321.7</v>
      </c>
    </row>
    <row r="494" spans="1:3" ht="15.75" customHeight="1">
      <c r="A494" s="502" t="s">
        <v>1284</v>
      </c>
      <c r="B494" s="503" t="s">
        <v>5597</v>
      </c>
      <c r="C494" s="504">
        <v>4292</v>
      </c>
    </row>
    <row r="495" spans="1:3" ht="15.75" customHeight="1">
      <c r="A495" s="502" t="s">
        <v>367</v>
      </c>
      <c r="B495" s="503" t="s">
        <v>5583</v>
      </c>
      <c r="C495" s="504">
        <v>4260.04</v>
      </c>
    </row>
    <row r="496" spans="1:3" ht="15.75" customHeight="1">
      <c r="A496" s="502" t="s">
        <v>5993</v>
      </c>
      <c r="B496" s="503" t="s">
        <v>5611</v>
      </c>
      <c r="C496" s="504">
        <v>4210.3100000000004</v>
      </c>
    </row>
    <row r="497" spans="1:3" ht="15.75" customHeight="1">
      <c r="A497" s="502" t="s">
        <v>836</v>
      </c>
      <c r="B497" s="503" t="s">
        <v>5631</v>
      </c>
      <c r="C497" s="504">
        <v>4101.5</v>
      </c>
    </row>
    <row r="498" spans="1:3" ht="15.75" customHeight="1">
      <c r="A498" s="502" t="s">
        <v>1801</v>
      </c>
      <c r="B498" s="503" t="s">
        <v>5518</v>
      </c>
      <c r="C498" s="504">
        <v>3781.61</v>
      </c>
    </row>
    <row r="499" spans="1:3" ht="15.75" customHeight="1">
      <c r="A499" s="502" t="s">
        <v>5994</v>
      </c>
      <c r="B499" s="503" t="s">
        <v>5516</v>
      </c>
      <c r="C499" s="504">
        <v>3499.5</v>
      </c>
    </row>
    <row r="500" spans="1:3" ht="15.75" customHeight="1">
      <c r="A500" s="502" t="s">
        <v>2329</v>
      </c>
      <c r="B500" s="503" t="s">
        <v>5995</v>
      </c>
      <c r="C500" s="504">
        <v>3179.99</v>
      </c>
    </row>
    <row r="501" spans="1:3" ht="15.75" customHeight="1">
      <c r="A501" s="502" t="s">
        <v>1833</v>
      </c>
      <c r="B501" s="503" t="s">
        <v>5996</v>
      </c>
      <c r="C501" s="504">
        <v>2438.06</v>
      </c>
    </row>
    <row r="502" spans="1:3" ht="15.75" customHeight="1">
      <c r="A502" s="502" t="s">
        <v>920</v>
      </c>
      <c r="B502" s="503" t="s">
        <v>5997</v>
      </c>
      <c r="C502" s="504">
        <v>2239.09</v>
      </c>
    </row>
    <row r="503" spans="1:3" ht="15.75" customHeight="1">
      <c r="A503" s="502" t="s">
        <v>2712</v>
      </c>
      <c r="B503" s="503" t="s">
        <v>5998</v>
      </c>
      <c r="C503" s="504">
        <v>2219.71</v>
      </c>
    </row>
    <row r="504" spans="1:3" ht="15.75" customHeight="1">
      <c r="A504" s="502" t="s">
        <v>2370</v>
      </c>
      <c r="B504" s="503" t="s">
        <v>5437</v>
      </c>
      <c r="C504" s="504">
        <v>2204.0100000000002</v>
      </c>
    </row>
    <row r="505" spans="1:3" ht="15.75" customHeight="1">
      <c r="A505" s="502" t="s">
        <v>2840</v>
      </c>
      <c r="B505" s="503" t="s">
        <v>5677</v>
      </c>
      <c r="C505" s="504">
        <v>1554.8</v>
      </c>
    </row>
    <row r="506" spans="1:3" ht="15.75" customHeight="1">
      <c r="A506" s="502" t="s">
        <v>5999</v>
      </c>
      <c r="B506" s="503" t="s">
        <v>6000</v>
      </c>
      <c r="C506" s="504">
        <v>1543.99</v>
      </c>
    </row>
    <row r="507" spans="1:3" ht="15.75" customHeight="1">
      <c r="A507" s="502" t="s">
        <v>902</v>
      </c>
      <c r="B507" s="503" t="s">
        <v>5433</v>
      </c>
      <c r="C507" s="504">
        <v>1535.23</v>
      </c>
    </row>
    <row r="508" spans="1:3" ht="15.75" customHeight="1">
      <c r="A508" s="502" t="s">
        <v>2415</v>
      </c>
      <c r="B508" s="503" t="s">
        <v>5925</v>
      </c>
      <c r="C508" s="504">
        <v>1355.14</v>
      </c>
    </row>
    <row r="509" spans="1:3" ht="15.75" customHeight="1">
      <c r="A509" s="502" t="s">
        <v>774</v>
      </c>
      <c r="B509" s="503" t="s">
        <v>5879</v>
      </c>
      <c r="C509" s="504">
        <v>1134.44</v>
      </c>
    </row>
    <row r="510" spans="1:3" ht="15.75" customHeight="1">
      <c r="A510" s="502" t="s">
        <v>2717</v>
      </c>
      <c r="B510" s="503" t="s">
        <v>5701</v>
      </c>
      <c r="C510" s="504">
        <v>1100.6600000000001</v>
      </c>
    </row>
    <row r="511" spans="1:3" ht="15.75" customHeight="1">
      <c r="A511" s="502" t="s">
        <v>2366</v>
      </c>
      <c r="B511" s="503" t="s">
        <v>5437</v>
      </c>
      <c r="C511" s="504">
        <v>968.33</v>
      </c>
    </row>
    <row r="512" spans="1:3" ht="15.75" customHeight="1">
      <c r="A512" s="502" t="s">
        <v>357</v>
      </c>
      <c r="B512" s="503" t="s">
        <v>5475</v>
      </c>
      <c r="C512" s="504">
        <v>911.22</v>
      </c>
    </row>
    <row r="513" spans="1:3" ht="15.75" customHeight="1">
      <c r="A513" s="502" t="s">
        <v>2517</v>
      </c>
      <c r="B513" s="503" t="s">
        <v>5770</v>
      </c>
      <c r="C513" s="504">
        <v>902.31</v>
      </c>
    </row>
    <row r="514" spans="1:3" ht="15.75" customHeight="1">
      <c r="A514" s="502" t="s">
        <v>900</v>
      </c>
      <c r="B514" s="503" t="s">
        <v>5433</v>
      </c>
      <c r="C514" s="504">
        <v>832.37</v>
      </c>
    </row>
    <row r="515" spans="1:3" ht="15.75" customHeight="1">
      <c r="A515" s="502" t="s">
        <v>1126</v>
      </c>
      <c r="B515" s="503" t="s">
        <v>5785</v>
      </c>
      <c r="C515" s="504">
        <v>827.9</v>
      </c>
    </row>
    <row r="516" spans="1:3" ht="15.75" customHeight="1">
      <c r="A516" s="502" t="s">
        <v>2418</v>
      </c>
      <c r="B516" s="503" t="s">
        <v>5925</v>
      </c>
      <c r="C516" s="504">
        <v>785.21</v>
      </c>
    </row>
    <row r="517" spans="1:3" ht="15.75" customHeight="1">
      <c r="A517" s="502" t="s">
        <v>626</v>
      </c>
      <c r="B517" s="503" t="s">
        <v>6001</v>
      </c>
      <c r="C517" s="504">
        <v>755.95</v>
      </c>
    </row>
    <row r="518" spans="1:3" ht="15.75" customHeight="1">
      <c r="A518" s="502" t="s">
        <v>6002</v>
      </c>
      <c r="B518" s="503" t="s">
        <v>5955</v>
      </c>
      <c r="C518" s="504">
        <v>724.77</v>
      </c>
    </row>
    <row r="519" spans="1:3" ht="15.75" customHeight="1">
      <c r="A519" s="502" t="s">
        <v>2035</v>
      </c>
      <c r="B519" s="503" t="s">
        <v>5905</v>
      </c>
      <c r="C519" s="504">
        <v>715.36</v>
      </c>
    </row>
    <row r="520" spans="1:3" ht="15.75" customHeight="1">
      <c r="A520" s="502" t="s">
        <v>6003</v>
      </c>
      <c r="B520" s="503" t="s">
        <v>6004</v>
      </c>
      <c r="C520" s="504">
        <v>708.8</v>
      </c>
    </row>
    <row r="521" spans="1:3" ht="15.75" customHeight="1">
      <c r="A521" s="502" t="s">
        <v>1169</v>
      </c>
      <c r="B521" s="503" t="s">
        <v>5902</v>
      </c>
      <c r="C521" s="504">
        <v>500</v>
      </c>
    </row>
    <row r="522" spans="1:3" ht="15.75" customHeight="1">
      <c r="A522" s="502" t="s">
        <v>1938</v>
      </c>
      <c r="B522" s="503" t="s">
        <v>6005</v>
      </c>
      <c r="C522" s="504">
        <v>458.9</v>
      </c>
    </row>
    <row r="523" spans="1:3" ht="15.75" customHeight="1">
      <c r="A523" s="502" t="s">
        <v>1403</v>
      </c>
      <c r="B523" s="503" t="s">
        <v>6006</v>
      </c>
      <c r="C523" s="504">
        <v>449.14</v>
      </c>
    </row>
    <row r="524" spans="1:3" ht="15.75" customHeight="1">
      <c r="A524" s="502" t="s">
        <v>1780</v>
      </c>
      <c r="B524" s="503" t="s">
        <v>5692</v>
      </c>
      <c r="C524" s="504">
        <v>420.93</v>
      </c>
    </row>
    <row r="525" spans="1:3" ht="15.75" customHeight="1">
      <c r="A525" s="502" t="s">
        <v>1617</v>
      </c>
      <c r="B525" s="503" t="s">
        <v>5544</v>
      </c>
      <c r="C525" s="504">
        <v>372.27</v>
      </c>
    </row>
    <row r="526" spans="1:3" ht="15.75" customHeight="1">
      <c r="A526" s="502" t="s">
        <v>1417</v>
      </c>
      <c r="B526" s="503" t="s">
        <v>5653</v>
      </c>
      <c r="C526" s="504">
        <v>326.07</v>
      </c>
    </row>
    <row r="527" spans="1:3" ht="15.75" customHeight="1">
      <c r="A527" s="502" t="s">
        <v>452</v>
      </c>
      <c r="B527" s="503" t="s">
        <v>6007</v>
      </c>
      <c r="C527" s="504">
        <v>309.37</v>
      </c>
    </row>
    <row r="528" spans="1:3" ht="15.75" customHeight="1">
      <c r="A528" s="502" t="s">
        <v>741</v>
      </c>
      <c r="B528" s="503" t="s">
        <v>6008</v>
      </c>
      <c r="C528" s="504">
        <v>307.14</v>
      </c>
    </row>
    <row r="529" spans="1:3" ht="15.75" customHeight="1">
      <c r="A529" s="502" t="s">
        <v>2137</v>
      </c>
      <c r="B529" s="503" t="s">
        <v>5870</v>
      </c>
      <c r="C529" s="504">
        <v>273.07</v>
      </c>
    </row>
    <row r="530" spans="1:3" ht="15.75" customHeight="1">
      <c r="A530" s="502" t="s">
        <v>1776</v>
      </c>
      <c r="B530" s="503" t="s">
        <v>5692</v>
      </c>
      <c r="C530" s="504">
        <v>263.83</v>
      </c>
    </row>
    <row r="531" spans="1:3" ht="15.75" customHeight="1">
      <c r="A531" s="502" t="s">
        <v>2559</v>
      </c>
      <c r="B531" s="503" t="s">
        <v>6009</v>
      </c>
      <c r="C531" s="504">
        <v>256.92</v>
      </c>
    </row>
    <row r="532" spans="1:3" ht="15.75" customHeight="1">
      <c r="A532" s="502" t="s">
        <v>1303</v>
      </c>
      <c r="B532" s="503" t="s">
        <v>5662</v>
      </c>
      <c r="C532" s="504">
        <v>249.87</v>
      </c>
    </row>
    <row r="533" spans="1:3" ht="15.75" customHeight="1">
      <c r="A533" s="502" t="s">
        <v>1597</v>
      </c>
      <c r="B533" s="503" t="s">
        <v>6010</v>
      </c>
      <c r="C533" s="504">
        <v>227.74</v>
      </c>
    </row>
    <row r="534" spans="1:3" ht="15.75" customHeight="1">
      <c r="A534" s="502" t="s">
        <v>1463</v>
      </c>
      <c r="B534" s="503" t="s">
        <v>5503</v>
      </c>
      <c r="C534" s="504">
        <v>218.88</v>
      </c>
    </row>
    <row r="535" spans="1:3" ht="15.75" customHeight="1">
      <c r="A535" s="502" t="s">
        <v>798</v>
      </c>
      <c r="B535" s="503" t="s">
        <v>5431</v>
      </c>
      <c r="C535" s="504">
        <v>218.6</v>
      </c>
    </row>
    <row r="536" spans="1:3" ht="15.75" customHeight="1">
      <c r="A536" s="502" t="s">
        <v>2461</v>
      </c>
      <c r="B536" s="503" t="s">
        <v>5626</v>
      </c>
      <c r="C536" s="506">
        <v>181.89</v>
      </c>
    </row>
    <row r="537" spans="1:3" ht="15.75" customHeight="1">
      <c r="A537" s="502" t="s">
        <v>2867</v>
      </c>
      <c r="B537" s="503" t="s">
        <v>6011</v>
      </c>
      <c r="C537" s="506">
        <v>180.05</v>
      </c>
    </row>
    <row r="538" spans="1:3" ht="15.75" customHeight="1">
      <c r="A538" s="502" t="s">
        <v>1078</v>
      </c>
      <c r="B538" s="503" t="s">
        <v>5588</v>
      </c>
      <c r="C538" s="506">
        <v>173.6</v>
      </c>
    </row>
    <row r="539" spans="1:3" ht="15.75" customHeight="1">
      <c r="A539" s="502" t="s">
        <v>6012</v>
      </c>
      <c r="B539" s="503" t="s">
        <v>5894</v>
      </c>
      <c r="C539" s="506">
        <v>168.73</v>
      </c>
    </row>
    <row r="540" spans="1:3" ht="15.75" customHeight="1">
      <c r="A540" s="502" t="s">
        <v>1247</v>
      </c>
      <c r="B540" s="503" t="s">
        <v>5501</v>
      </c>
      <c r="C540" s="506">
        <v>151.97999999999999</v>
      </c>
    </row>
    <row r="541" spans="1:3" ht="15.75" customHeight="1">
      <c r="A541" s="502" t="s">
        <v>2555</v>
      </c>
      <c r="B541" s="503" t="s">
        <v>5622</v>
      </c>
      <c r="C541" s="506">
        <v>147.77000000000001</v>
      </c>
    </row>
    <row r="542" spans="1:3" ht="15.75" customHeight="1">
      <c r="A542" s="502" t="s">
        <v>1142</v>
      </c>
      <c r="B542" s="503" t="s">
        <v>6013</v>
      </c>
      <c r="C542" s="506">
        <v>144.88</v>
      </c>
    </row>
    <row r="543" spans="1:3" ht="15.75" customHeight="1">
      <c r="A543" s="502" t="s">
        <v>647</v>
      </c>
      <c r="B543" s="503" t="s">
        <v>5899</v>
      </c>
      <c r="C543" s="506">
        <v>112.85</v>
      </c>
    </row>
    <row r="544" spans="1:3" ht="15.75" customHeight="1">
      <c r="A544" s="502" t="s">
        <v>1659</v>
      </c>
      <c r="B544" s="503" t="s">
        <v>5945</v>
      </c>
      <c r="C544" s="506">
        <v>106.84</v>
      </c>
    </row>
    <row r="545" spans="1:3" ht="15.75" customHeight="1">
      <c r="A545" s="502" t="s">
        <v>2042</v>
      </c>
      <c r="B545" s="503" t="s">
        <v>6014</v>
      </c>
      <c r="C545" s="506">
        <v>94.24</v>
      </c>
    </row>
    <row r="546" spans="1:3" ht="15.75" customHeight="1">
      <c r="A546" s="502" t="s">
        <v>1413</v>
      </c>
      <c r="B546" s="503" t="s">
        <v>5653</v>
      </c>
      <c r="C546" s="506">
        <v>86.38</v>
      </c>
    </row>
    <row r="547" spans="1:3" ht="15.75" customHeight="1">
      <c r="A547" s="502" t="s">
        <v>2295</v>
      </c>
      <c r="B547" s="503" t="s">
        <v>5516</v>
      </c>
      <c r="C547" s="506">
        <v>85.9</v>
      </c>
    </row>
    <row r="548" spans="1:3" ht="15.75" customHeight="1">
      <c r="A548" s="502" t="s">
        <v>1912</v>
      </c>
      <c r="B548" s="503" t="s">
        <v>5483</v>
      </c>
      <c r="C548" s="506">
        <v>68.430000000000007</v>
      </c>
    </row>
    <row r="549" spans="1:3" ht="15.75" customHeight="1">
      <c r="A549" s="502" t="s">
        <v>712</v>
      </c>
      <c r="B549" s="503" t="s">
        <v>6015</v>
      </c>
      <c r="C549" s="506">
        <v>51.48</v>
      </c>
    </row>
    <row r="550" spans="1:3" ht="15.75" customHeight="1">
      <c r="A550" s="502" t="s">
        <v>1082</v>
      </c>
      <c r="B550" s="503" t="s">
        <v>5588</v>
      </c>
      <c r="C550" s="506">
        <v>51.44</v>
      </c>
    </row>
    <row r="551" spans="1:3" ht="15.75" customHeight="1">
      <c r="A551" s="502" t="s">
        <v>2597</v>
      </c>
      <c r="B551" s="503" t="s">
        <v>6016</v>
      </c>
      <c r="C551" s="506">
        <v>50.63</v>
      </c>
    </row>
    <row r="552" spans="1:3" ht="15.75" customHeight="1">
      <c r="A552" s="502" t="s">
        <v>2531</v>
      </c>
      <c r="B552" s="503" t="s">
        <v>6017</v>
      </c>
      <c r="C552" s="506">
        <v>39.909999999999997</v>
      </c>
    </row>
    <row r="553" spans="1:3" ht="15.75" customHeight="1">
      <c r="A553" s="502" t="s">
        <v>1861</v>
      </c>
      <c r="B553" s="503" t="s">
        <v>5510</v>
      </c>
      <c r="C553" s="506">
        <v>35.29</v>
      </c>
    </row>
    <row r="554" spans="1:3" ht="15.75" customHeight="1">
      <c r="A554" s="502" t="s">
        <v>386</v>
      </c>
      <c r="B554" s="503" t="s">
        <v>6018</v>
      </c>
      <c r="C554" s="506">
        <v>31.25</v>
      </c>
    </row>
    <row r="555" spans="1:3" ht="15.75" customHeight="1">
      <c r="A555" s="502" t="s">
        <v>1636</v>
      </c>
      <c r="B555" s="503" t="s">
        <v>6019</v>
      </c>
      <c r="C555" s="506">
        <v>30.02</v>
      </c>
    </row>
    <row r="556" spans="1:3" ht="15.75" customHeight="1">
      <c r="A556" s="502" t="s">
        <v>2623</v>
      </c>
      <c r="B556" s="503" t="s">
        <v>5969</v>
      </c>
      <c r="C556" s="506">
        <v>30</v>
      </c>
    </row>
    <row r="557" spans="1:3" ht="15.75" customHeight="1">
      <c r="A557" s="502" t="s">
        <v>383</v>
      </c>
      <c r="B557" s="503" t="s">
        <v>5951</v>
      </c>
      <c r="C557" s="506">
        <v>28.73</v>
      </c>
    </row>
    <row r="558" spans="1:3" ht="15.75" customHeight="1">
      <c r="A558" s="502" t="s">
        <v>1222</v>
      </c>
      <c r="B558" s="503" t="s">
        <v>5592</v>
      </c>
      <c r="C558" s="506">
        <v>25.08</v>
      </c>
    </row>
    <row r="559" spans="1:3" ht="15.75" customHeight="1">
      <c r="A559" s="502" t="s">
        <v>2173</v>
      </c>
      <c r="B559" s="503" t="s">
        <v>6020</v>
      </c>
      <c r="C559" s="506">
        <v>21.52</v>
      </c>
    </row>
    <row r="560" spans="1:3" ht="15.75" customHeight="1">
      <c r="A560" s="502" t="s">
        <v>2864</v>
      </c>
      <c r="B560" s="503" t="s">
        <v>6021</v>
      </c>
      <c r="C560" s="506">
        <v>20.89</v>
      </c>
    </row>
    <row r="561" spans="1:3" ht="15.75" customHeight="1">
      <c r="A561" s="502" t="s">
        <v>1996</v>
      </c>
      <c r="B561" s="503" t="s">
        <v>5443</v>
      </c>
      <c r="C561" s="506">
        <v>20.75</v>
      </c>
    </row>
    <row r="562" spans="1:3" ht="15.75" customHeight="1">
      <c r="A562" s="502" t="s">
        <v>1178</v>
      </c>
      <c r="B562" s="503" t="s">
        <v>5902</v>
      </c>
      <c r="C562" s="506">
        <v>19.2</v>
      </c>
    </row>
    <row r="563" spans="1:3" ht="15.75" customHeight="1">
      <c r="A563" s="502" t="s">
        <v>276</v>
      </c>
      <c r="B563" s="503" t="s">
        <v>6022</v>
      </c>
      <c r="C563" s="506">
        <v>18.77</v>
      </c>
    </row>
    <row r="564" spans="1:3" ht="15.75" customHeight="1">
      <c r="A564" s="502" t="s">
        <v>2847</v>
      </c>
      <c r="B564" s="503" t="s">
        <v>6023</v>
      </c>
      <c r="C564" s="506">
        <v>14.67</v>
      </c>
    </row>
    <row r="565" spans="1:3" ht="15.75" customHeight="1">
      <c r="A565" s="502" t="s">
        <v>893</v>
      </c>
      <c r="B565" s="503" t="s">
        <v>6024</v>
      </c>
      <c r="C565" s="506">
        <v>13.08</v>
      </c>
    </row>
    <row r="566" spans="1:3" ht="15.75" customHeight="1">
      <c r="A566" s="502" t="s">
        <v>2614</v>
      </c>
      <c r="B566" s="503" t="s">
        <v>5969</v>
      </c>
      <c r="C566" s="506">
        <v>13.08</v>
      </c>
    </row>
    <row r="567" spans="1:3" ht="15.75" customHeight="1">
      <c r="A567" s="502" t="s">
        <v>1923</v>
      </c>
      <c r="B567" s="503" t="s">
        <v>5483</v>
      </c>
      <c r="C567" s="506">
        <v>10.89</v>
      </c>
    </row>
    <row r="568" spans="1:3" ht="15.75" customHeight="1">
      <c r="A568" s="502" t="s">
        <v>1130</v>
      </c>
      <c r="B568" s="503" t="s">
        <v>6025</v>
      </c>
      <c r="C568" s="506">
        <v>9.7899999999999991</v>
      </c>
    </row>
    <row r="569" spans="1:3" ht="15.75" customHeight="1">
      <c r="A569" s="502" t="s">
        <v>623</v>
      </c>
      <c r="B569" s="503" t="s">
        <v>6001</v>
      </c>
      <c r="C569" s="506">
        <v>9.7200000000000006</v>
      </c>
    </row>
    <row r="570" spans="1:3" ht="15.75" customHeight="1">
      <c r="A570" s="502" t="s">
        <v>1438</v>
      </c>
      <c r="B570" s="503" t="s">
        <v>5653</v>
      </c>
      <c r="C570" s="506">
        <v>5.55</v>
      </c>
    </row>
    <row r="571" spans="1:3" ht="15.75" customHeight="1">
      <c r="A571" s="502" t="s">
        <v>2733</v>
      </c>
      <c r="B571" s="503" t="s">
        <v>5633</v>
      </c>
      <c r="C571" s="506">
        <v>4.8</v>
      </c>
    </row>
    <row r="572" spans="1:3" ht="15.75" customHeight="1">
      <c r="A572" s="502" t="s">
        <v>1940</v>
      </c>
      <c r="B572" s="503" t="s">
        <v>6005</v>
      </c>
      <c r="C572" s="506">
        <v>4.4000000000000004</v>
      </c>
    </row>
    <row r="573" spans="1:3" ht="15.75" customHeight="1">
      <c r="A573" s="502" t="s">
        <v>300</v>
      </c>
      <c r="B573" s="503" t="s">
        <v>5485</v>
      </c>
      <c r="C573" s="506">
        <v>3.83</v>
      </c>
    </row>
    <row r="574" spans="1:3" ht="15.75" customHeight="1">
      <c r="A574" s="502" t="s">
        <v>1478</v>
      </c>
      <c r="B574" s="503" t="s">
        <v>5459</v>
      </c>
      <c r="C574" s="506">
        <v>3.27</v>
      </c>
    </row>
    <row r="575" spans="1:3" ht="15.75" customHeight="1">
      <c r="A575" s="502" t="s">
        <v>237</v>
      </c>
      <c r="B575" s="503" t="s">
        <v>5894</v>
      </c>
      <c r="C575" s="506">
        <v>1.7</v>
      </c>
    </row>
    <row r="576" spans="1:3" ht="15.75" customHeight="1">
      <c r="A576" s="502" t="s">
        <v>1255</v>
      </c>
      <c r="B576" s="503" t="s">
        <v>5501</v>
      </c>
      <c r="C576" s="506">
        <v>1.1000000000000001</v>
      </c>
    </row>
    <row r="577" spans="1:3" ht="15.75" customHeight="1">
      <c r="A577" s="502" t="s">
        <v>2806</v>
      </c>
      <c r="B577" s="503" t="s">
        <v>6026</v>
      </c>
      <c r="C577" s="506">
        <v>1</v>
      </c>
    </row>
    <row r="578" spans="1:3" ht="15.75" customHeight="1">
      <c r="A578" s="502" t="s">
        <v>617</v>
      </c>
      <c r="B578" s="503" t="s">
        <v>6001</v>
      </c>
      <c r="C578" s="506">
        <v>1</v>
      </c>
    </row>
    <row r="579" spans="1:3" ht="15.75" customHeight="1">
      <c r="A579" s="502" t="s">
        <v>969</v>
      </c>
      <c r="B579" s="503" t="s">
        <v>6027</v>
      </c>
      <c r="C579" s="506">
        <v>0.96</v>
      </c>
    </row>
    <row r="580" spans="1:3" ht="15.75" customHeight="1">
      <c r="A580" s="502" t="s">
        <v>1297</v>
      </c>
      <c r="B580" s="503" t="s">
        <v>6028</v>
      </c>
      <c r="C580" s="506">
        <v>0.88</v>
      </c>
    </row>
    <row r="581" spans="1:3" ht="15.75" customHeight="1">
      <c r="A581" s="502" t="s">
        <v>518</v>
      </c>
      <c r="B581" s="503" t="s">
        <v>6029</v>
      </c>
      <c r="C581" s="506">
        <v>0.78</v>
      </c>
    </row>
    <row r="582" spans="1:3" ht="15.75" customHeight="1">
      <c r="A582" s="502" t="s">
        <v>592</v>
      </c>
      <c r="B582" s="503" t="s">
        <v>5457</v>
      </c>
      <c r="C582" s="506">
        <v>0.69</v>
      </c>
    </row>
    <row r="583" spans="1:3" ht="15.75" customHeight="1">
      <c r="A583" s="502" t="s">
        <v>767</v>
      </c>
      <c r="B583" s="503" t="s">
        <v>6030</v>
      </c>
      <c r="C583" s="506">
        <v>0.62</v>
      </c>
    </row>
    <row r="584" spans="1:3" ht="15.75" customHeight="1">
      <c r="A584" s="502" t="s">
        <v>1372</v>
      </c>
      <c r="B584" s="503" t="s">
        <v>5955</v>
      </c>
      <c r="C584" s="506">
        <v>0.39</v>
      </c>
    </row>
    <row r="585" spans="1:3" ht="15.75" customHeight="1">
      <c r="A585" s="502" t="s">
        <v>770</v>
      </c>
      <c r="B585" s="503" t="s">
        <v>6031</v>
      </c>
      <c r="C585" s="506">
        <v>0.21</v>
      </c>
    </row>
    <row r="586" spans="1:3" ht="15.75" customHeight="1">
      <c r="A586" s="502" t="s">
        <v>1742</v>
      </c>
      <c r="B586" s="503" t="s">
        <v>5658</v>
      </c>
      <c r="C586" s="506">
        <v>0.17</v>
      </c>
    </row>
    <row r="587" spans="1:3" ht="15.75" customHeight="1">
      <c r="A587" s="502" t="s">
        <v>2814</v>
      </c>
      <c r="B587" s="503" t="s">
        <v>6032</v>
      </c>
      <c r="C587" s="506">
        <v>0.16</v>
      </c>
    </row>
    <row r="588" spans="1:3" ht="15.75" customHeight="1">
      <c r="A588" s="502" t="s">
        <v>1431</v>
      </c>
      <c r="B588" s="503" t="s">
        <v>5653</v>
      </c>
      <c r="C588" s="506">
        <v>0.15</v>
      </c>
    </row>
    <row r="589" spans="1:3" ht="15.75" customHeight="1">
      <c r="A589" s="502" t="s">
        <v>2154</v>
      </c>
      <c r="B589" s="503" t="s">
        <v>5538</v>
      </c>
      <c r="C589" s="506">
        <v>0.14000000000000001</v>
      </c>
    </row>
    <row r="590" spans="1:3" ht="15.75" customHeight="1">
      <c r="A590" s="502" t="s">
        <v>143</v>
      </c>
      <c r="B590" s="503" t="s">
        <v>5986</v>
      </c>
      <c r="C590" s="506">
        <v>0.09</v>
      </c>
    </row>
    <row r="591" spans="1:3" ht="15.75" customHeight="1">
      <c r="A591" s="502" t="s">
        <v>1163</v>
      </c>
      <c r="B591" s="503" t="s">
        <v>5902</v>
      </c>
      <c r="C591" s="506">
        <v>0.09</v>
      </c>
    </row>
    <row r="592" spans="1:3" ht="15.75" customHeight="1">
      <c r="A592" s="502" t="s">
        <v>2379</v>
      </c>
      <c r="B592" s="503" t="s">
        <v>5437</v>
      </c>
      <c r="C592" s="506">
        <v>0.04</v>
      </c>
    </row>
    <row r="593" spans="1:3" ht="15.75" customHeight="1">
      <c r="A593" s="502" t="s">
        <v>1156</v>
      </c>
      <c r="B593" s="503" t="s">
        <v>5902</v>
      </c>
      <c r="C593" s="506">
        <v>0.03</v>
      </c>
    </row>
    <row r="594" spans="1:3" ht="15.75" customHeight="1">
      <c r="A594" s="502" t="s">
        <v>1334</v>
      </c>
      <c r="B594" s="503" t="s">
        <v>5421</v>
      </c>
      <c r="C594" s="506">
        <v>0.02</v>
      </c>
    </row>
    <row r="595" spans="1:3" ht="15.75" customHeight="1">
      <c r="A595" s="502" t="s">
        <v>1270</v>
      </c>
      <c r="B595" s="503" t="s">
        <v>5501</v>
      </c>
      <c r="C595" s="506">
        <v>0.01</v>
      </c>
    </row>
    <row r="596" spans="1:3" ht="15.75" customHeight="1">
      <c r="A596" s="502" t="s">
        <v>2797</v>
      </c>
      <c r="B596" s="503" t="s">
        <v>6033</v>
      </c>
      <c r="C596" s="506">
        <v>0.01</v>
      </c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6034</v>
      </c>
    </row>
    <row r="2" spans="1:8" ht="12.75" hidden="1">
      <c r="A2" s="3" t="s">
        <v>750</v>
      </c>
      <c r="B2" s="4" t="s">
        <v>751</v>
      </c>
      <c r="C2" s="125" t="s">
        <v>29</v>
      </c>
      <c r="D2" s="125" t="s">
        <v>46</v>
      </c>
      <c r="E2" s="125" t="s">
        <v>20</v>
      </c>
      <c r="F2" s="125" t="s">
        <v>124</v>
      </c>
      <c r="G2" s="508" t="s">
        <v>6035</v>
      </c>
      <c r="H2" s="25">
        <v>45512</v>
      </c>
    </row>
    <row r="3" spans="1:8" ht="12.75" hidden="1">
      <c r="A3" s="3" t="s">
        <v>1374</v>
      </c>
      <c r="B3" s="4" t="s">
        <v>1375</v>
      </c>
      <c r="C3" s="125" t="s">
        <v>29</v>
      </c>
      <c r="D3" s="125" t="s">
        <v>46</v>
      </c>
      <c r="E3" s="125" t="s">
        <v>20</v>
      </c>
      <c r="F3" s="125" t="s">
        <v>124</v>
      </c>
      <c r="G3" s="508" t="s">
        <v>6035</v>
      </c>
      <c r="H3" s="25"/>
    </row>
    <row r="4" spans="1:8" ht="12.75" hidden="1">
      <c r="A4" s="3" t="s">
        <v>1490</v>
      </c>
      <c r="B4" s="4" t="s">
        <v>1491</v>
      </c>
      <c r="C4" s="125" t="s">
        <v>29</v>
      </c>
      <c r="D4" s="125" t="s">
        <v>46</v>
      </c>
      <c r="E4" s="125" t="s">
        <v>20</v>
      </c>
      <c r="F4" s="7" t="s">
        <v>124</v>
      </c>
      <c r="G4" s="508" t="s">
        <v>6035</v>
      </c>
      <c r="H4" s="25">
        <v>45503</v>
      </c>
    </row>
    <row r="5" spans="1:8" ht="12.75" hidden="1">
      <c r="A5" s="3" t="s">
        <v>1613</v>
      </c>
      <c r="B5" s="4" t="s">
        <v>1614</v>
      </c>
      <c r="C5" s="125" t="s">
        <v>29</v>
      </c>
      <c r="D5" s="125" t="s">
        <v>46</v>
      </c>
      <c r="E5" s="125" t="s">
        <v>20</v>
      </c>
      <c r="F5" s="125" t="s">
        <v>6036</v>
      </c>
      <c r="G5" s="508" t="s">
        <v>6035</v>
      </c>
      <c r="H5" s="7" t="s">
        <v>6037</v>
      </c>
    </row>
    <row r="6" spans="1:8" ht="12.75" hidden="1">
      <c r="A6" s="3" t="s">
        <v>1651</v>
      </c>
      <c r="B6" s="4" t="s">
        <v>1652</v>
      </c>
      <c r="C6" s="125" t="s">
        <v>29</v>
      </c>
      <c r="D6" s="125" t="s">
        <v>46</v>
      </c>
      <c r="E6" s="125" t="s">
        <v>20</v>
      </c>
      <c r="F6" s="125" t="s">
        <v>124</v>
      </c>
      <c r="G6" s="508" t="s">
        <v>6035</v>
      </c>
      <c r="H6" s="25"/>
    </row>
    <row r="7" spans="1:8" ht="12.75" hidden="1">
      <c r="A7" s="3" t="s">
        <v>1794</v>
      </c>
      <c r="B7" s="4" t="s">
        <v>1795</v>
      </c>
      <c r="C7" s="125" t="s">
        <v>29</v>
      </c>
      <c r="D7" s="125" t="s">
        <v>46</v>
      </c>
      <c r="E7" s="125" t="s">
        <v>20</v>
      </c>
      <c r="F7" s="125" t="s">
        <v>6036</v>
      </c>
      <c r="G7" s="508" t="s">
        <v>6035</v>
      </c>
      <c r="H7" s="25"/>
    </row>
    <row r="8" spans="1:8" ht="12.75" hidden="1">
      <c r="A8" s="38" t="s">
        <v>1956</v>
      </c>
      <c r="B8" s="55" t="s">
        <v>1957</v>
      </c>
      <c r="C8" s="125" t="s">
        <v>29</v>
      </c>
      <c r="D8" s="125" t="s">
        <v>46</v>
      </c>
      <c r="E8" s="125" t="s">
        <v>20</v>
      </c>
      <c r="F8" s="7" t="s">
        <v>124</v>
      </c>
      <c r="G8" s="508" t="s">
        <v>6035</v>
      </c>
      <c r="H8" s="7" t="s">
        <v>6037</v>
      </c>
    </row>
    <row r="9" spans="1:8" ht="12.75" hidden="1">
      <c r="A9" s="3" t="s">
        <v>2007</v>
      </c>
      <c r="B9" s="4" t="s">
        <v>2008</v>
      </c>
      <c r="C9" s="125" t="s">
        <v>29</v>
      </c>
      <c r="D9" s="125" t="s">
        <v>46</v>
      </c>
      <c r="E9" s="125" t="s">
        <v>20</v>
      </c>
      <c r="F9" s="125" t="s">
        <v>6036</v>
      </c>
      <c r="G9" s="508" t="s">
        <v>6035</v>
      </c>
      <c r="H9" s="25"/>
    </row>
    <row r="10" spans="1:8" ht="12.75" hidden="1">
      <c r="A10" s="3" t="s">
        <v>2178</v>
      </c>
      <c r="B10" s="4" t="s">
        <v>2179</v>
      </c>
      <c r="C10" s="125" t="s">
        <v>29</v>
      </c>
      <c r="D10" s="125" t="s">
        <v>46</v>
      </c>
      <c r="E10" s="125" t="s">
        <v>20</v>
      </c>
      <c r="F10" s="125" t="s">
        <v>124</v>
      </c>
      <c r="G10" s="508" t="s">
        <v>6035</v>
      </c>
      <c r="H10" s="25"/>
    </row>
    <row r="11" spans="1:8" ht="12.75" hidden="1">
      <c r="A11" s="3" t="s">
        <v>2425</v>
      </c>
      <c r="B11" s="4" t="s">
        <v>2426</v>
      </c>
      <c r="C11" s="125" t="s">
        <v>29</v>
      </c>
      <c r="D11" s="125" t="s">
        <v>46</v>
      </c>
      <c r="E11" s="125" t="s">
        <v>20</v>
      </c>
      <c r="F11" s="125" t="s">
        <v>6036</v>
      </c>
      <c r="G11" s="508" t="s">
        <v>6035</v>
      </c>
      <c r="H11" s="7" t="s">
        <v>6037</v>
      </c>
    </row>
    <row r="12" spans="1:8" ht="12.75" hidden="1">
      <c r="A12" s="3" t="s">
        <v>2466</v>
      </c>
      <c r="B12" s="4" t="s">
        <v>2467</v>
      </c>
      <c r="C12" s="125" t="s">
        <v>29</v>
      </c>
      <c r="D12" s="125" t="s">
        <v>46</v>
      </c>
      <c r="E12" s="125" t="s">
        <v>20</v>
      </c>
      <c r="F12" s="125" t="s">
        <v>277</v>
      </c>
      <c r="G12" s="508" t="s">
        <v>6035</v>
      </c>
      <c r="H12" s="25"/>
    </row>
    <row r="13" spans="1:8" ht="12.75" hidden="1">
      <c r="A13" s="3" t="s">
        <v>2708</v>
      </c>
      <c r="B13" s="60" t="s">
        <v>2709</v>
      </c>
      <c r="C13" s="125" t="s">
        <v>29</v>
      </c>
      <c r="D13" s="125" t="s">
        <v>46</v>
      </c>
      <c r="E13" s="125" t="s">
        <v>20</v>
      </c>
      <c r="F13" s="125" t="s">
        <v>277</v>
      </c>
      <c r="G13" s="508" t="s">
        <v>6035</v>
      </c>
      <c r="H13" s="25"/>
    </row>
    <row r="14" spans="1:8" ht="12.75" hidden="1">
      <c r="A14" s="3" t="s">
        <v>2711</v>
      </c>
      <c r="B14" s="60" t="s">
        <v>2712</v>
      </c>
      <c r="C14" s="125" t="s">
        <v>29</v>
      </c>
      <c r="D14" s="125" t="s">
        <v>46</v>
      </c>
      <c r="E14" s="125" t="s">
        <v>20</v>
      </c>
      <c r="F14" s="125" t="s">
        <v>277</v>
      </c>
      <c r="G14" s="508" t="s">
        <v>6035</v>
      </c>
      <c r="H14" s="25"/>
    </row>
    <row r="15" spans="1:8" ht="12.75" hidden="1">
      <c r="A15" s="3" t="s">
        <v>6038</v>
      </c>
      <c r="B15" s="4" t="s">
        <v>2744</v>
      </c>
      <c r="C15" s="125" t="s">
        <v>29</v>
      </c>
      <c r="D15" s="125" t="s">
        <v>46</v>
      </c>
      <c r="E15" s="125" t="s">
        <v>20</v>
      </c>
      <c r="F15" s="125" t="s">
        <v>6036</v>
      </c>
      <c r="G15" s="508" t="s">
        <v>6035</v>
      </c>
      <c r="H15" s="7" t="s">
        <v>6037</v>
      </c>
    </row>
    <row r="16" spans="1:8" ht="12.75" hidden="1">
      <c r="A16" s="3" t="s">
        <v>2720</v>
      </c>
      <c r="B16" s="4" t="s">
        <v>2721</v>
      </c>
      <c r="C16" s="125" t="s">
        <v>29</v>
      </c>
      <c r="D16" s="125" t="s">
        <v>46</v>
      </c>
      <c r="E16" s="125" t="s">
        <v>20</v>
      </c>
      <c r="F16" s="125" t="s">
        <v>124</v>
      </c>
      <c r="G16" s="508" t="s">
        <v>6035</v>
      </c>
      <c r="H16" s="25"/>
    </row>
    <row r="17" spans="1:8" ht="12.75" hidden="1">
      <c r="A17" s="509" t="s">
        <v>1926</v>
      </c>
      <c r="B17" s="510" t="s">
        <v>1927</v>
      </c>
      <c r="C17" s="125" t="s">
        <v>29</v>
      </c>
      <c r="D17" s="125" t="s">
        <v>19</v>
      </c>
      <c r="E17" s="125" t="s">
        <v>20</v>
      </c>
      <c r="F17" s="511" t="s">
        <v>6039</v>
      </c>
      <c r="G17" s="508" t="s">
        <v>6040</v>
      </c>
      <c r="H17" s="25"/>
    </row>
    <row r="18" spans="1:8" ht="12.75" hidden="1">
      <c r="A18" s="512" t="s">
        <v>1926</v>
      </c>
      <c r="B18" s="513" t="s">
        <v>1931</v>
      </c>
      <c r="C18" s="125" t="s">
        <v>29</v>
      </c>
      <c r="D18" s="125" t="s">
        <v>19</v>
      </c>
      <c r="E18" s="125" t="s">
        <v>20</v>
      </c>
      <c r="F18" s="511" t="s">
        <v>6039</v>
      </c>
      <c r="G18" s="508" t="s">
        <v>6040</v>
      </c>
      <c r="H18" s="25"/>
    </row>
    <row r="19" spans="1:8" ht="12.75" hidden="1">
      <c r="A19" s="509" t="s">
        <v>1946</v>
      </c>
      <c r="B19" s="514" t="s">
        <v>1947</v>
      </c>
      <c r="C19" s="125" t="s">
        <v>29</v>
      </c>
      <c r="D19" s="125" t="s">
        <v>19</v>
      </c>
      <c r="E19" s="125" t="s">
        <v>20</v>
      </c>
      <c r="F19" s="511" t="s">
        <v>6039</v>
      </c>
      <c r="G19" s="508" t="s">
        <v>6040</v>
      </c>
      <c r="H19" s="25"/>
    </row>
    <row r="20" spans="1:8" ht="12.75" hidden="1">
      <c r="A20" s="509" t="s">
        <v>2140</v>
      </c>
      <c r="B20" s="510" t="s">
        <v>2141</v>
      </c>
      <c r="C20" s="125" t="s">
        <v>29</v>
      </c>
      <c r="D20" s="125" t="s">
        <v>19</v>
      </c>
      <c r="E20" s="125" t="s">
        <v>20</v>
      </c>
      <c r="F20" s="511" t="s">
        <v>6039</v>
      </c>
      <c r="G20" s="508" t="s">
        <v>6040</v>
      </c>
      <c r="H20" s="25"/>
    </row>
    <row r="21" spans="1:8" ht="12.75" hidden="1">
      <c r="A21" s="515" t="s">
        <v>6041</v>
      </c>
      <c r="B21" s="510" t="s">
        <v>2218</v>
      </c>
      <c r="C21" s="125" t="s">
        <v>29</v>
      </c>
      <c r="D21" s="125" t="s">
        <v>19</v>
      </c>
      <c r="E21" s="125" t="s">
        <v>20</v>
      </c>
      <c r="F21" s="511" t="s">
        <v>6039</v>
      </c>
      <c r="G21" s="508" t="s">
        <v>6040</v>
      </c>
      <c r="H21" s="25"/>
    </row>
    <row r="22" spans="1:8" ht="12.75" hidden="1">
      <c r="A22" s="509" t="s">
        <v>2391</v>
      </c>
      <c r="B22" s="514" t="s">
        <v>2392</v>
      </c>
      <c r="C22" s="125" t="s">
        <v>29</v>
      </c>
      <c r="D22" s="125" t="s">
        <v>19</v>
      </c>
      <c r="E22" s="125" t="s">
        <v>20</v>
      </c>
      <c r="F22" s="511" t="s">
        <v>6042</v>
      </c>
      <c r="G22" s="508" t="s">
        <v>6040</v>
      </c>
      <c r="H22" s="25"/>
    </row>
    <row r="23" spans="1:8" ht="12.75" hidden="1">
      <c r="A23" s="509" t="s">
        <v>2668</v>
      </c>
      <c r="B23" s="510" t="s">
        <v>2669</v>
      </c>
      <c r="C23" s="125" t="s">
        <v>29</v>
      </c>
      <c r="D23" s="125" t="s">
        <v>19</v>
      </c>
      <c r="E23" s="125" t="s">
        <v>20</v>
      </c>
      <c r="F23" s="511" t="s">
        <v>6042</v>
      </c>
      <c r="G23" s="508" t="s">
        <v>6040</v>
      </c>
      <c r="H23" s="25"/>
    </row>
    <row r="24" spans="1:8" ht="12.75" hidden="1">
      <c r="A24" s="509" t="s">
        <v>1967</v>
      </c>
      <c r="B24" s="510" t="s">
        <v>1968</v>
      </c>
      <c r="C24" s="125" t="s">
        <v>29</v>
      </c>
      <c r="D24" s="125" t="s">
        <v>19</v>
      </c>
      <c r="E24" s="125" t="s">
        <v>20</v>
      </c>
      <c r="F24" s="511" t="s">
        <v>6042</v>
      </c>
      <c r="G24" s="508" t="s">
        <v>6040</v>
      </c>
      <c r="H24" s="25"/>
    </row>
    <row r="25" spans="1:8" ht="12.75" hidden="1">
      <c r="A25" s="509" t="s">
        <v>2431</v>
      </c>
      <c r="B25" s="510" t="s">
        <v>2435</v>
      </c>
      <c r="C25" s="125" t="s">
        <v>29</v>
      </c>
      <c r="D25" s="125" t="s">
        <v>19</v>
      </c>
      <c r="E25" s="125" t="s">
        <v>20</v>
      </c>
      <c r="F25" s="511" t="s">
        <v>6039</v>
      </c>
      <c r="G25" s="508" t="s">
        <v>6040</v>
      </c>
      <c r="H25" s="25"/>
    </row>
    <row r="26" spans="1:8" ht="12.75" hidden="1">
      <c r="A26" s="509" t="s">
        <v>2431</v>
      </c>
      <c r="B26" s="510" t="s">
        <v>2432</v>
      </c>
      <c r="C26" s="125" t="s">
        <v>29</v>
      </c>
      <c r="D26" s="125" t="s">
        <v>19</v>
      </c>
      <c r="E26" s="125" t="s">
        <v>20</v>
      </c>
      <c r="F26" s="511" t="s">
        <v>6039</v>
      </c>
      <c r="G26" s="508" t="s">
        <v>6040</v>
      </c>
      <c r="H26" s="25"/>
    </row>
    <row r="27" spans="1:8" ht="12.75" hidden="1">
      <c r="A27" s="509" t="s">
        <v>562</v>
      </c>
      <c r="B27" s="514" t="s">
        <v>563</v>
      </c>
      <c r="C27" s="125" t="s">
        <v>29</v>
      </c>
      <c r="D27" s="125" t="s">
        <v>19</v>
      </c>
      <c r="E27" s="125" t="s">
        <v>20</v>
      </c>
      <c r="F27" s="511" t="s">
        <v>6039</v>
      </c>
      <c r="G27" s="508" t="s">
        <v>6040</v>
      </c>
      <c r="H27" s="25"/>
    </row>
    <row r="28" spans="1:8" ht="12.75">
      <c r="A28" s="509" t="s">
        <v>954</v>
      </c>
      <c r="B28" s="514" t="s">
        <v>955</v>
      </c>
      <c r="C28" s="125" t="s">
        <v>29</v>
      </c>
      <c r="D28" s="125" t="s">
        <v>19</v>
      </c>
      <c r="E28" s="125" t="s">
        <v>35</v>
      </c>
      <c r="F28" s="511" t="s">
        <v>250</v>
      </c>
      <c r="G28" s="508" t="s">
        <v>6040</v>
      </c>
      <c r="H28" s="25"/>
    </row>
    <row r="29" spans="1:8" ht="14.25" hidden="1">
      <c r="A29" s="515" t="s">
        <v>358</v>
      </c>
      <c r="B29" s="516" t="s">
        <v>359</v>
      </c>
      <c r="C29" s="125" t="s">
        <v>29</v>
      </c>
      <c r="D29" s="125" t="s">
        <v>19</v>
      </c>
      <c r="E29" s="125" t="s">
        <v>20</v>
      </c>
      <c r="F29" s="511" t="s">
        <v>6043</v>
      </c>
      <c r="G29" s="508" t="s">
        <v>6040</v>
      </c>
      <c r="H29" s="25"/>
    </row>
    <row r="30" spans="1:8" ht="12.75" hidden="1">
      <c r="A30" s="509" t="s">
        <v>3733</v>
      </c>
      <c r="B30" s="510" t="s">
        <v>480</v>
      </c>
      <c r="C30" s="125" t="s">
        <v>29</v>
      </c>
      <c r="D30" s="125" t="s">
        <v>19</v>
      </c>
      <c r="E30" s="125" t="s">
        <v>20</v>
      </c>
      <c r="F30" s="511" t="s">
        <v>6043</v>
      </c>
      <c r="G30" s="508" t="s">
        <v>6040</v>
      </c>
      <c r="H30" s="25"/>
    </row>
    <row r="31" spans="1:8" ht="12.75" hidden="1">
      <c r="A31" s="512" t="s">
        <v>3733</v>
      </c>
      <c r="B31" s="513" t="s">
        <v>483</v>
      </c>
      <c r="C31" s="125" t="s">
        <v>29</v>
      </c>
      <c r="D31" s="125" t="s">
        <v>19</v>
      </c>
      <c r="E31" s="125" t="s">
        <v>20</v>
      </c>
      <c r="F31" s="511" t="s">
        <v>6043</v>
      </c>
      <c r="G31" s="508" t="s">
        <v>6040</v>
      </c>
      <c r="H31" s="25"/>
    </row>
    <row r="32" spans="1:8" ht="12.75" hidden="1">
      <c r="A32" s="512" t="s">
        <v>3733</v>
      </c>
      <c r="B32" s="513" t="s">
        <v>485</v>
      </c>
      <c r="C32" s="125" t="s">
        <v>29</v>
      </c>
      <c r="D32" s="125" t="s">
        <v>19</v>
      </c>
      <c r="E32" s="125" t="s">
        <v>20</v>
      </c>
      <c r="F32" s="511" t="s">
        <v>6043</v>
      </c>
      <c r="G32" s="508" t="s">
        <v>6040</v>
      </c>
      <c r="H32" s="25"/>
    </row>
    <row r="33" spans="1:8" ht="12.75" hidden="1">
      <c r="A33" s="512" t="s">
        <v>3733</v>
      </c>
      <c r="B33" s="513" t="s">
        <v>487</v>
      </c>
      <c r="C33" s="125" t="s">
        <v>29</v>
      </c>
      <c r="D33" s="125" t="s">
        <v>19</v>
      </c>
      <c r="E33" s="125" t="s">
        <v>20</v>
      </c>
      <c r="F33" s="511" t="s">
        <v>6043</v>
      </c>
      <c r="G33" s="508" t="s">
        <v>6040</v>
      </c>
      <c r="H33" s="25"/>
    </row>
    <row r="34" spans="1:8" ht="12.75" hidden="1">
      <c r="A34" s="512" t="s">
        <v>3733</v>
      </c>
      <c r="B34" s="513" t="s">
        <v>488</v>
      </c>
      <c r="C34" s="125" t="s">
        <v>29</v>
      </c>
      <c r="D34" s="125" t="s">
        <v>19</v>
      </c>
      <c r="E34" s="125" t="s">
        <v>20</v>
      </c>
      <c r="F34" s="511" t="s">
        <v>6043</v>
      </c>
      <c r="G34" s="508" t="s">
        <v>6040</v>
      </c>
      <c r="H34" s="25"/>
    </row>
    <row r="35" spans="1:8" ht="12.75" hidden="1">
      <c r="A35" s="13" t="s">
        <v>976</v>
      </c>
      <c r="B35" s="510" t="s">
        <v>977</v>
      </c>
      <c r="C35" s="125" t="s">
        <v>29</v>
      </c>
      <c r="D35" s="125" t="s">
        <v>19</v>
      </c>
      <c r="E35" s="125" t="s">
        <v>20</v>
      </c>
      <c r="F35" s="511" t="s">
        <v>6039</v>
      </c>
      <c r="G35" s="508" t="s">
        <v>6040</v>
      </c>
      <c r="H35" s="25"/>
    </row>
    <row r="36" spans="1:8" ht="12.75" hidden="1">
      <c r="A36" s="13" t="s">
        <v>2693</v>
      </c>
      <c r="B36" s="510" t="s">
        <v>2694</v>
      </c>
      <c r="C36" s="125" t="s">
        <v>29</v>
      </c>
      <c r="D36" s="125" t="s">
        <v>19</v>
      </c>
      <c r="E36" s="125" t="s">
        <v>20</v>
      </c>
      <c r="F36" s="511" t="s">
        <v>195</v>
      </c>
      <c r="G36" s="508" t="s">
        <v>6040</v>
      </c>
      <c r="H36" s="25"/>
    </row>
    <row r="37" spans="1:8" ht="12.75" hidden="1">
      <c r="A37" s="509" t="s">
        <v>2446</v>
      </c>
      <c r="B37" s="517" t="s">
        <v>2447</v>
      </c>
      <c r="C37" s="125" t="s">
        <v>29</v>
      </c>
      <c r="D37" s="125" t="s">
        <v>19</v>
      </c>
      <c r="E37" s="125" t="s">
        <v>20</v>
      </c>
      <c r="F37" s="511" t="s">
        <v>257</v>
      </c>
      <c r="G37" s="508" t="s">
        <v>6044</v>
      </c>
      <c r="H37" s="25"/>
    </row>
    <row r="38" spans="1:8" ht="12.75" hidden="1">
      <c r="A38" s="512" t="s">
        <v>2446</v>
      </c>
      <c r="B38" s="518" t="s">
        <v>2449</v>
      </c>
      <c r="C38" s="125" t="s">
        <v>29</v>
      </c>
      <c r="D38" s="125" t="s">
        <v>19</v>
      </c>
      <c r="E38" s="125" t="s">
        <v>20</v>
      </c>
      <c r="F38" s="519" t="s">
        <v>257</v>
      </c>
      <c r="G38" s="508" t="s">
        <v>6044</v>
      </c>
      <c r="H38" s="25"/>
    </row>
    <row r="39" spans="1:8" ht="12.75" hidden="1">
      <c r="A39" s="3" t="s">
        <v>5367</v>
      </c>
      <c r="B39" s="4" t="s">
        <v>2814</v>
      </c>
      <c r="C39" s="125" t="s">
        <v>29</v>
      </c>
      <c r="D39" s="125" t="s">
        <v>19</v>
      </c>
      <c r="E39" s="125" t="s">
        <v>66</v>
      </c>
      <c r="F39" s="125" t="s">
        <v>144</v>
      </c>
      <c r="G39" s="508" t="s">
        <v>6044</v>
      </c>
      <c r="H39" s="7" t="s">
        <v>6045</v>
      </c>
    </row>
    <row r="40" spans="1:8" ht="12.75" hidden="1">
      <c r="A40" s="3" t="s">
        <v>746</v>
      </c>
      <c r="B40" s="60" t="s">
        <v>747</v>
      </c>
      <c r="C40" s="125" t="s">
        <v>29</v>
      </c>
      <c r="D40" s="125" t="s">
        <v>19</v>
      </c>
      <c r="E40" s="125" t="s">
        <v>66</v>
      </c>
      <c r="F40" s="125" t="s">
        <v>144</v>
      </c>
      <c r="G40" s="508" t="s">
        <v>6044</v>
      </c>
      <c r="H40" s="25"/>
    </row>
    <row r="41" spans="1:8" ht="12.75">
      <c r="A41" s="3" t="s">
        <v>2610</v>
      </c>
      <c r="B41" s="4" t="s">
        <v>2611</v>
      </c>
      <c r="C41" s="125" t="s">
        <v>29</v>
      </c>
      <c r="D41" s="125" t="s">
        <v>19</v>
      </c>
      <c r="E41" s="125" t="s">
        <v>35</v>
      </c>
      <c r="F41" s="125" t="s">
        <v>250</v>
      </c>
      <c r="G41" s="508" t="s">
        <v>6040</v>
      </c>
      <c r="H41" s="7"/>
    </row>
    <row r="42" spans="1:8" ht="14.25">
      <c r="A42" s="515" t="s">
        <v>680</v>
      </c>
      <c r="B42" s="516" t="s">
        <v>681</v>
      </c>
      <c r="C42" s="125" t="s">
        <v>29</v>
      </c>
      <c r="D42" s="125" t="s">
        <v>19</v>
      </c>
      <c r="E42" s="125" t="s">
        <v>35</v>
      </c>
      <c r="F42" s="511" t="s">
        <v>250</v>
      </c>
      <c r="G42" s="508" t="s">
        <v>6040</v>
      </c>
      <c r="H42" s="25"/>
    </row>
    <row r="43" spans="1:8" ht="12.75">
      <c r="A43" s="509" t="s">
        <v>425</v>
      </c>
      <c r="B43" s="510" t="s">
        <v>430</v>
      </c>
      <c r="C43" s="125" t="s">
        <v>29</v>
      </c>
      <c r="D43" s="125" t="s">
        <v>19</v>
      </c>
      <c r="E43" s="125" t="s">
        <v>35</v>
      </c>
      <c r="F43" s="511" t="s">
        <v>199</v>
      </c>
      <c r="G43" s="508" t="s">
        <v>6040</v>
      </c>
      <c r="H43" s="25"/>
    </row>
    <row r="44" spans="1:8" ht="12.75">
      <c r="A44" s="512" t="s">
        <v>1422</v>
      </c>
      <c r="B44" s="513" t="s">
        <v>1423</v>
      </c>
      <c r="C44" s="125" t="s">
        <v>29</v>
      </c>
      <c r="D44" s="125" t="s">
        <v>34</v>
      </c>
      <c r="E44" s="125" t="s">
        <v>35</v>
      </c>
      <c r="F44" s="511" t="s">
        <v>1424</v>
      </c>
      <c r="G44" s="508" t="s">
        <v>6040</v>
      </c>
      <c r="H44" s="25"/>
    </row>
    <row r="45" spans="1:8" ht="12.75">
      <c r="A45" s="512" t="s">
        <v>2762</v>
      </c>
      <c r="B45" s="513" t="s">
        <v>2763</v>
      </c>
      <c r="C45" s="125" t="s">
        <v>29</v>
      </c>
      <c r="D45" s="125" t="s">
        <v>19</v>
      </c>
      <c r="E45" s="125" t="s">
        <v>35</v>
      </c>
      <c r="F45" s="511" t="s">
        <v>250</v>
      </c>
      <c r="G45" s="508" t="s">
        <v>6040</v>
      </c>
      <c r="H45" s="25"/>
    </row>
    <row r="46" spans="1:8" ht="14.25">
      <c r="A46" s="520" t="s">
        <v>2872</v>
      </c>
      <c r="B46" s="521" t="s">
        <v>2873</v>
      </c>
      <c r="C46" s="125" t="s">
        <v>29</v>
      </c>
      <c r="D46" s="125" t="s">
        <v>19</v>
      </c>
      <c r="E46" s="125" t="s">
        <v>35</v>
      </c>
      <c r="F46" s="511" t="s">
        <v>250</v>
      </c>
      <c r="G46" s="508" t="s">
        <v>6040</v>
      </c>
      <c r="H46" s="25"/>
    </row>
    <row r="47" spans="1:8" ht="14.25">
      <c r="A47" s="515" t="s">
        <v>227</v>
      </c>
      <c r="B47" s="516" t="s">
        <v>228</v>
      </c>
      <c r="C47" s="125" t="s">
        <v>29</v>
      </c>
      <c r="D47" s="125" t="s">
        <v>19</v>
      </c>
      <c r="E47" s="125" t="s">
        <v>35</v>
      </c>
      <c r="F47" s="511" t="s">
        <v>199</v>
      </c>
      <c r="G47" s="508" t="s">
        <v>6040</v>
      </c>
      <c r="H47" s="25"/>
    </row>
    <row r="48" spans="1:8" ht="12.75">
      <c r="A48" s="509" t="s">
        <v>3213</v>
      </c>
      <c r="B48" s="510" t="s">
        <v>1309</v>
      </c>
      <c r="C48" s="125" t="s">
        <v>29</v>
      </c>
      <c r="D48" s="125" t="s">
        <v>19</v>
      </c>
      <c r="E48" s="125" t="s">
        <v>35</v>
      </c>
      <c r="F48" s="511" t="s">
        <v>250</v>
      </c>
      <c r="G48" s="508"/>
      <c r="H48" s="25"/>
    </row>
    <row r="49" spans="1:8" ht="12.75">
      <c r="A49" s="509" t="s">
        <v>993</v>
      </c>
      <c r="B49" s="510" t="s">
        <v>994</v>
      </c>
      <c r="C49" s="125" t="s">
        <v>29</v>
      </c>
      <c r="D49" s="125" t="s">
        <v>19</v>
      </c>
      <c r="E49" s="125" t="s">
        <v>35</v>
      </c>
      <c r="F49" s="511" t="s">
        <v>250</v>
      </c>
      <c r="G49" s="508" t="s">
        <v>6040</v>
      </c>
      <c r="H49" s="25"/>
    </row>
    <row r="50" spans="1:8" ht="12.75">
      <c r="A50" s="509" t="s">
        <v>549</v>
      </c>
      <c r="B50" s="510" t="s">
        <v>550</v>
      </c>
      <c r="C50" s="125" t="s">
        <v>29</v>
      </c>
      <c r="D50" s="125" t="s">
        <v>19</v>
      </c>
      <c r="E50" s="125" t="s">
        <v>35</v>
      </c>
      <c r="F50" s="511" t="s">
        <v>250</v>
      </c>
      <c r="G50" s="508" t="s">
        <v>6040</v>
      </c>
      <c r="H50" s="25"/>
    </row>
    <row r="51" spans="1:8" ht="12.75">
      <c r="A51" s="509" t="s">
        <v>6046</v>
      </c>
      <c r="B51" s="510" t="s">
        <v>1540</v>
      </c>
      <c r="C51" s="125" t="s">
        <v>29</v>
      </c>
      <c r="D51" s="125" t="s">
        <v>19</v>
      </c>
      <c r="E51" s="125" t="s">
        <v>35</v>
      </c>
      <c r="F51" s="511" t="s">
        <v>199</v>
      </c>
      <c r="G51" s="508" t="s">
        <v>6040</v>
      </c>
      <c r="H51" s="25"/>
    </row>
    <row r="52" spans="1:8" ht="12.75">
      <c r="A52" s="512" t="s">
        <v>6046</v>
      </c>
      <c r="B52" s="513" t="s">
        <v>1543</v>
      </c>
      <c r="C52" s="125" t="s">
        <v>29</v>
      </c>
      <c r="D52" s="125" t="s">
        <v>19</v>
      </c>
      <c r="E52" s="125" t="s">
        <v>35</v>
      </c>
      <c r="F52" s="511" t="s">
        <v>199</v>
      </c>
      <c r="G52" s="508" t="s">
        <v>6040</v>
      </c>
      <c r="H52" s="25"/>
    </row>
    <row r="53" spans="1:8" ht="12.75" hidden="1">
      <c r="A53" s="509" t="s">
        <v>601</v>
      </c>
      <c r="B53" s="514" t="s">
        <v>602</v>
      </c>
      <c r="C53" s="125" t="s">
        <v>29</v>
      </c>
      <c r="D53" s="125" t="s">
        <v>19</v>
      </c>
      <c r="E53" s="125" t="s">
        <v>20</v>
      </c>
      <c r="F53" s="511" t="s">
        <v>6043</v>
      </c>
      <c r="G53" s="508" t="s">
        <v>6040</v>
      </c>
      <c r="H53" s="25"/>
    </row>
    <row r="54" spans="1:8" ht="12.75">
      <c r="A54" s="509" t="s">
        <v>850</v>
      </c>
      <c r="B54" s="514" t="s">
        <v>851</v>
      </c>
      <c r="C54" s="125" t="s">
        <v>29</v>
      </c>
      <c r="D54" s="125" t="s">
        <v>19</v>
      </c>
      <c r="E54" s="125" t="s">
        <v>35</v>
      </c>
      <c r="F54" s="511" t="s">
        <v>199</v>
      </c>
      <c r="G54" s="508" t="s">
        <v>6040</v>
      </c>
      <c r="H54" s="25"/>
    </row>
    <row r="55" spans="1:8" ht="12.75">
      <c r="A55" s="509" t="s">
        <v>850</v>
      </c>
      <c r="B55" s="514" t="s">
        <v>853</v>
      </c>
      <c r="C55" s="125" t="s">
        <v>29</v>
      </c>
      <c r="D55" s="125" t="s">
        <v>19</v>
      </c>
      <c r="E55" s="125" t="s">
        <v>35</v>
      </c>
      <c r="F55" s="511" t="s">
        <v>199</v>
      </c>
      <c r="G55" s="508" t="s">
        <v>6040</v>
      </c>
      <c r="H55" s="25"/>
    </row>
    <row r="56" spans="1:8" ht="12.75">
      <c r="A56" s="509" t="s">
        <v>1398</v>
      </c>
      <c r="B56" s="514" t="s">
        <v>1399</v>
      </c>
      <c r="C56" s="125" t="s">
        <v>29</v>
      </c>
      <c r="D56" s="125" t="s">
        <v>19</v>
      </c>
      <c r="E56" s="125" t="s">
        <v>35</v>
      </c>
      <c r="F56" s="511" t="s">
        <v>199</v>
      </c>
      <c r="G56" s="508"/>
      <c r="H56" s="25"/>
    </row>
    <row r="57" spans="1:8" ht="12.75">
      <c r="A57" s="509" t="s">
        <v>1426</v>
      </c>
      <c r="B57" s="514" t="s">
        <v>1427</v>
      </c>
      <c r="C57" s="125" t="s">
        <v>29</v>
      </c>
      <c r="D57" s="125" t="s">
        <v>19</v>
      </c>
      <c r="E57" s="125" t="s">
        <v>35</v>
      </c>
      <c r="F57" s="511" t="s">
        <v>250</v>
      </c>
      <c r="G57" s="508"/>
      <c r="H57" s="25"/>
    </row>
    <row r="58" spans="1:8" ht="12.75">
      <c r="A58" s="509" t="s">
        <v>1426</v>
      </c>
      <c r="B58" s="514" t="s">
        <v>1429</v>
      </c>
      <c r="C58" s="125" t="s">
        <v>29</v>
      </c>
      <c r="D58" s="125" t="s">
        <v>19</v>
      </c>
      <c r="E58" s="125" t="s">
        <v>35</v>
      </c>
      <c r="F58" s="511" t="s">
        <v>250</v>
      </c>
      <c r="G58" s="508"/>
      <c r="H58" s="25"/>
    </row>
    <row r="59" spans="1:8" ht="12.75">
      <c r="A59" s="509" t="s">
        <v>930</v>
      </c>
      <c r="B59" s="514" t="s">
        <v>931</v>
      </c>
      <c r="C59" s="125" t="s">
        <v>29</v>
      </c>
      <c r="D59" s="125" t="s">
        <v>19</v>
      </c>
      <c r="E59" s="125" t="s">
        <v>35</v>
      </c>
      <c r="F59" s="511" t="s">
        <v>250</v>
      </c>
      <c r="G59" s="508"/>
      <c r="H59" s="25"/>
    </row>
    <row r="60" spans="1:8" ht="12.75">
      <c r="A60" s="509" t="s">
        <v>1528</v>
      </c>
      <c r="B60" s="514" t="s">
        <v>1529</v>
      </c>
      <c r="C60" s="125" t="s">
        <v>29</v>
      </c>
      <c r="D60" s="125" t="s">
        <v>19</v>
      </c>
      <c r="E60" s="125" t="s">
        <v>35</v>
      </c>
      <c r="F60" s="511" t="s">
        <v>199</v>
      </c>
      <c r="G60" s="508" t="s">
        <v>6040</v>
      </c>
      <c r="H60" s="25"/>
    </row>
    <row r="61" spans="1:8" ht="12.75">
      <c r="A61" s="509"/>
      <c r="B61" s="514"/>
      <c r="C61" s="125" t="s">
        <v>29</v>
      </c>
      <c r="D61" s="125" t="s">
        <v>19</v>
      </c>
      <c r="E61" s="125" t="s">
        <v>35</v>
      </c>
      <c r="F61" s="511"/>
      <c r="G61" s="508"/>
      <c r="H61" s="25"/>
    </row>
    <row r="62" spans="1:8" ht="12.75" hidden="1">
      <c r="A62" s="509" t="s">
        <v>2883</v>
      </c>
      <c r="B62" s="514" t="s">
        <v>2884</v>
      </c>
      <c r="C62" s="125" t="s">
        <v>29</v>
      </c>
      <c r="D62" s="125" t="s">
        <v>19</v>
      </c>
      <c r="E62" s="125" t="s">
        <v>20</v>
      </c>
      <c r="F62" s="511" t="s">
        <v>6042</v>
      </c>
      <c r="G62" s="508" t="s">
        <v>6040</v>
      </c>
      <c r="H62" s="25"/>
    </row>
  </sheetData>
  <autoFilter ref="A1:H62" xr:uid="{00000000-0009-0000-0000-00000B000000}">
    <filterColumn colId="4">
      <filters>
        <filter val="SUL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B00-000000000000}">
      <formula1>"DF,GO,SUL"</formula1>
    </dataValidation>
    <dataValidation type="list" allowBlank="1" showErrorMessage="1" sqref="D2:D62" xr:uid="{00000000-0002-0000-0B00-000001000000}">
      <formula1>"Voga,Bluemetrix,Matrice,VcInvest,Bluemetrix (MI)"</formula1>
    </dataValidation>
    <dataValidation type="list" allowBlank="1" showErrorMessage="1" sqref="G2:G62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8" t="s">
        <v>6047</v>
      </c>
      <c r="B1" s="648"/>
      <c r="C1" s="648"/>
      <c r="D1" s="648"/>
      <c r="E1" s="648"/>
      <c r="F1" s="648"/>
      <c r="G1" s="648"/>
      <c r="H1" s="648"/>
      <c r="I1" s="648"/>
      <c r="J1" s="648"/>
      <c r="K1" s="649"/>
    </row>
    <row r="2" spans="1:11">
      <c r="A2" s="522" t="s">
        <v>2</v>
      </c>
      <c r="B2" s="522" t="s">
        <v>6048</v>
      </c>
      <c r="C2" s="522" t="s">
        <v>6049</v>
      </c>
      <c r="D2" s="522" t="s">
        <v>5410</v>
      </c>
      <c r="E2" s="522" t="s">
        <v>6050</v>
      </c>
      <c r="F2" s="522" t="s">
        <v>6051</v>
      </c>
      <c r="G2" s="522" t="s">
        <v>6052</v>
      </c>
      <c r="H2" s="522" t="s">
        <v>6053</v>
      </c>
      <c r="I2" s="522" t="s">
        <v>6054</v>
      </c>
      <c r="J2" s="522" t="s">
        <v>6055</v>
      </c>
      <c r="K2" s="522" t="s">
        <v>6056</v>
      </c>
    </row>
    <row r="3" spans="1:11">
      <c r="A3" s="84" t="s">
        <v>29</v>
      </c>
      <c r="B3" s="523">
        <f>BTG!AR867</f>
        <v>299068989.77000034</v>
      </c>
      <c r="C3" s="523">
        <f>BTG!AS867</f>
        <v>307067992.60000002</v>
      </c>
      <c r="D3" s="523">
        <f>BTG!AT867</f>
        <v>306041920.26999986</v>
      </c>
      <c r="E3" s="523">
        <f>BTG!AU867</f>
        <v>321232242.9600001</v>
      </c>
      <c r="F3" s="523">
        <f>BTG!AV867</f>
        <v>330549753.52000016</v>
      </c>
      <c r="G3" s="523">
        <f>BTG!AW867</f>
        <v>337087157.53000009</v>
      </c>
      <c r="H3" s="523">
        <f>BTG!AX867</f>
        <v>282806423.22999972</v>
      </c>
      <c r="I3" s="523">
        <f>BTG!AY867</f>
        <v>262292402.17000008</v>
      </c>
      <c r="J3" s="523">
        <f>BTG!AZ867</f>
        <v>256341962.20999986</v>
      </c>
      <c r="K3" s="523" t="e">
        <f ca="1">BTG!BA867</f>
        <v>#NAME?</v>
      </c>
    </row>
    <row r="4" spans="1:11">
      <c r="A4" s="84" t="s">
        <v>3579</v>
      </c>
      <c r="B4" s="523">
        <f>Ágora!AM17</f>
        <v>21817676.549999997</v>
      </c>
      <c r="C4" s="523">
        <f>Ágora!AN17</f>
        <v>15704130.35</v>
      </c>
      <c r="D4" s="523">
        <f>Ágora!AO17</f>
        <v>15573061.549999999</v>
      </c>
      <c r="E4" s="523">
        <f>Ágora!AP17</f>
        <v>15704900.17</v>
      </c>
      <c r="F4" s="523">
        <f>Ágora!AQ17</f>
        <v>15630226.370000001</v>
      </c>
      <c r="G4" s="523">
        <f>Ágora!AR17</f>
        <v>16309169.310000001</v>
      </c>
      <c r="H4" s="523">
        <f>Ágora!AS17</f>
        <v>16743562.379999999</v>
      </c>
      <c r="I4" s="523">
        <f>Ágora!AT17</f>
        <v>17423239.059999999</v>
      </c>
      <c r="J4" s="523">
        <f>Ágora!AU17</f>
        <v>17339742.519999996</v>
      </c>
      <c r="K4" s="523" t="e">
        <f ca="1">Ágora!AV17</f>
        <v>#NAME?</v>
      </c>
    </row>
    <row r="5" spans="1:11">
      <c r="A5" s="84" t="s">
        <v>2929</v>
      </c>
      <c r="B5" s="523">
        <f>Guide!CA397</f>
        <v>20623662.730000012</v>
      </c>
      <c r="C5" s="523">
        <f>Guide!CB397</f>
        <v>19534663.280000001</v>
      </c>
      <c r="D5" s="523">
        <f>Guide!CC397</f>
        <v>17533313.230000004</v>
      </c>
      <c r="E5" s="523">
        <f>Guide!CD397</f>
        <v>18123650.280000001</v>
      </c>
      <c r="F5" s="523">
        <f>Guide!CE397</f>
        <v>17255985.080000002</v>
      </c>
      <c r="G5" s="523">
        <f>Guide!CF397</f>
        <v>17736140.360000003</v>
      </c>
      <c r="H5" s="523">
        <f>Guide!CG397</f>
        <v>17552161.669999994</v>
      </c>
      <c r="I5" s="523">
        <f>Guide!CH397</f>
        <v>17304917.789999988</v>
      </c>
      <c r="J5" s="523">
        <f>Guide!CI397</f>
        <v>16748432.869999995</v>
      </c>
      <c r="K5" s="523" t="e">
        <f ca="1">Guide!CJ397</f>
        <v>#NAME?</v>
      </c>
    </row>
    <row r="6" spans="1:11">
      <c r="A6" s="84" t="s">
        <v>3613</v>
      </c>
      <c r="B6" s="523">
        <f>Genial!CC34</f>
        <v>1124357.3400000001</v>
      </c>
      <c r="C6" s="523">
        <f>Genial!CD34</f>
        <v>1059951.4700000002</v>
      </c>
      <c r="D6" s="523">
        <f>Genial!CE34</f>
        <v>1001755.77</v>
      </c>
      <c r="E6" s="523">
        <f>Genial!CF34</f>
        <v>794172.04999999993</v>
      </c>
      <c r="F6" s="523">
        <f>Genial!CG34</f>
        <v>791657.06</v>
      </c>
      <c r="G6" s="523">
        <f>Genial!CH34</f>
        <v>793253.11999999988</v>
      </c>
      <c r="H6" s="523">
        <f>Genial!CI34</f>
        <v>801704.32000000007</v>
      </c>
      <c r="I6" s="523">
        <f>Genial!CJ34</f>
        <v>807095.23</v>
      </c>
      <c r="J6" s="523">
        <f>Genial!CK34</f>
        <v>805060.47</v>
      </c>
      <c r="K6" s="523"/>
    </row>
    <row r="7" spans="1:11">
      <c r="A7" s="84" t="s">
        <v>3711</v>
      </c>
      <c r="B7" s="523">
        <f>Órama!AJ6</f>
        <v>581852.22</v>
      </c>
      <c r="C7" s="523">
        <f>Órama!AK6</f>
        <v>584165.93000000005</v>
      </c>
      <c r="D7" s="523">
        <f>Órama!AL6</f>
        <v>495576.06</v>
      </c>
      <c r="E7" s="523">
        <f>Órama!AM6</f>
        <v>494772.11</v>
      </c>
      <c r="F7" s="523">
        <f>Órama!AN6</f>
        <v>496894.54</v>
      </c>
      <c r="G7" s="523">
        <f>Órama!AO6</f>
        <v>496874.88</v>
      </c>
      <c r="H7" s="523">
        <f>Órama!AP6</f>
        <v>0</v>
      </c>
      <c r="I7" s="523">
        <v>0</v>
      </c>
      <c r="J7" s="523">
        <v>0</v>
      </c>
      <c r="K7" s="523">
        <v>0</v>
      </c>
    </row>
    <row r="8" spans="1:11">
      <c r="A8" s="524" t="s">
        <v>6057</v>
      </c>
      <c r="B8" s="525">
        <f t="shared" ref="B8:K8" si="0">SUM(B3:B7)</f>
        <v>343216538.61000037</v>
      </c>
      <c r="C8" s="525">
        <f t="shared" si="0"/>
        <v>343950903.63000005</v>
      </c>
      <c r="D8" s="525">
        <f t="shared" si="0"/>
        <v>340645626.87999988</v>
      </c>
      <c r="E8" s="525">
        <f t="shared" si="0"/>
        <v>356349737.57000011</v>
      </c>
      <c r="F8" s="525">
        <f t="shared" si="0"/>
        <v>364724516.57000017</v>
      </c>
      <c r="G8" s="525">
        <f t="shared" si="0"/>
        <v>372422595.20000011</v>
      </c>
      <c r="H8" s="525">
        <f t="shared" si="0"/>
        <v>317903851.59999973</v>
      </c>
      <c r="I8" s="525">
        <f t="shared" si="0"/>
        <v>297827654.25000006</v>
      </c>
      <c r="J8" s="525">
        <f t="shared" si="0"/>
        <v>291235198.06999987</v>
      </c>
      <c r="K8" s="525" t="e">
        <f t="shared" ca="1" si="0"/>
        <v>#NAME?</v>
      </c>
    </row>
    <row r="11" spans="1:11">
      <c r="A11" s="658" t="s">
        <v>6058</v>
      </c>
      <c r="B11" s="648"/>
      <c r="C11" s="648"/>
      <c r="D11" s="648"/>
      <c r="E11" s="648"/>
      <c r="F11" s="648"/>
      <c r="G11" s="648"/>
      <c r="H11" s="648"/>
      <c r="I11" s="648"/>
      <c r="J11" s="649"/>
    </row>
    <row r="12" spans="1:11">
      <c r="A12" s="522" t="s">
        <v>2</v>
      </c>
      <c r="B12" s="522" t="s">
        <v>6048</v>
      </c>
      <c r="C12" s="522" t="s">
        <v>6049</v>
      </c>
      <c r="D12" s="522" t="s">
        <v>5410</v>
      </c>
      <c r="E12" s="522" t="s">
        <v>6050</v>
      </c>
      <c r="F12" s="522" t="s">
        <v>6051</v>
      </c>
      <c r="G12" s="522" t="s">
        <v>6052</v>
      </c>
      <c r="H12" s="522" t="s">
        <v>6053</v>
      </c>
      <c r="I12" s="522" t="s">
        <v>6054</v>
      </c>
      <c r="J12" s="522" t="s">
        <v>6055</v>
      </c>
    </row>
    <row r="13" spans="1:11">
      <c r="A13" s="84" t="s">
        <v>3719</v>
      </c>
      <c r="B13" s="526">
        <f>Pershing!AL26</f>
        <v>2784739.66</v>
      </c>
      <c r="C13" s="526">
        <f>Pershing!AM26</f>
        <v>2901557.6</v>
      </c>
      <c r="D13" s="526">
        <f>Pershing!AN26</f>
        <v>3080107.76</v>
      </c>
      <c r="E13" s="526">
        <f>Pershing!AO26</f>
        <v>3336074.58</v>
      </c>
      <c r="F13" s="526">
        <f>Pershing!AP26</f>
        <v>3461366.97</v>
      </c>
      <c r="G13" s="526">
        <f>Pershing!AQ26</f>
        <v>3515414.23</v>
      </c>
      <c r="H13" s="526">
        <f>Pershing!AR26</f>
        <v>3657518.89</v>
      </c>
      <c r="I13" s="526">
        <f>Pershing!AS26</f>
        <v>2203596.91</v>
      </c>
      <c r="J13" s="526">
        <f>Pershing!AT26</f>
        <v>1037808.4100000001</v>
      </c>
    </row>
    <row r="14" spans="1:11">
      <c r="A14" s="84" t="s">
        <v>18</v>
      </c>
      <c r="B14" s="526">
        <v>0</v>
      </c>
      <c r="C14" s="526">
        <v>0</v>
      </c>
      <c r="D14" s="526">
        <v>0</v>
      </c>
      <c r="E14" s="526">
        <v>0</v>
      </c>
      <c r="F14" s="526">
        <v>0</v>
      </c>
      <c r="G14" s="526">
        <v>0</v>
      </c>
      <c r="H14" s="526">
        <f>'Interactive Brokers'!W8</f>
        <v>698091.16999999993</v>
      </c>
      <c r="I14" s="526">
        <f>'Interactive Brokers'!X8</f>
        <v>717679.16</v>
      </c>
      <c r="J14" s="526">
        <f>'Interactive Brokers'!Y8</f>
        <v>666848.08000000007</v>
      </c>
    </row>
    <row r="15" spans="1:11">
      <c r="A15" s="524" t="s">
        <v>6057</v>
      </c>
      <c r="B15" s="527">
        <f t="shared" ref="B15:J15" si="1">SUM(B13:B14)</f>
        <v>2784739.66</v>
      </c>
      <c r="C15" s="527">
        <f t="shared" si="1"/>
        <v>2901557.6</v>
      </c>
      <c r="D15" s="527">
        <f t="shared" si="1"/>
        <v>3080107.76</v>
      </c>
      <c r="E15" s="527">
        <f t="shared" si="1"/>
        <v>3336074.58</v>
      </c>
      <c r="F15" s="527">
        <f t="shared" si="1"/>
        <v>3461366.97</v>
      </c>
      <c r="G15" s="527">
        <f t="shared" si="1"/>
        <v>3515414.23</v>
      </c>
      <c r="H15" s="527">
        <f t="shared" si="1"/>
        <v>4355610.0600000005</v>
      </c>
      <c r="I15" s="527">
        <f t="shared" si="1"/>
        <v>2921276.0700000003</v>
      </c>
      <c r="J15" s="527">
        <f t="shared" si="1"/>
        <v>1704656.4900000002</v>
      </c>
    </row>
    <row r="20" spans="1:10">
      <c r="A20" s="658" t="s">
        <v>6059</v>
      </c>
      <c r="B20" s="648"/>
      <c r="C20" s="648"/>
      <c r="D20" s="648"/>
      <c r="E20" s="648"/>
      <c r="F20" s="648"/>
      <c r="G20" s="648"/>
      <c r="H20" s="648"/>
      <c r="I20" s="648"/>
      <c r="J20" s="649"/>
    </row>
    <row r="21" spans="1:10">
      <c r="A21" s="522" t="s">
        <v>6060</v>
      </c>
      <c r="B21" s="522" t="s">
        <v>6048</v>
      </c>
      <c r="C21" s="522" t="s">
        <v>6049</v>
      </c>
      <c r="D21" s="522" t="s">
        <v>5410</v>
      </c>
      <c r="E21" s="522" t="s">
        <v>6050</v>
      </c>
      <c r="F21" s="522" t="s">
        <v>6051</v>
      </c>
      <c r="G21" s="522" t="s">
        <v>6052</v>
      </c>
      <c r="H21" s="522" t="s">
        <v>6053</v>
      </c>
      <c r="I21" s="522" t="s">
        <v>6054</v>
      </c>
      <c r="J21" s="522" t="s">
        <v>6055</v>
      </c>
    </row>
    <row r="22" spans="1:10">
      <c r="A22" s="524" t="s">
        <v>6061</v>
      </c>
      <c r="B22" s="525">
        <v>4348295.6900000004</v>
      </c>
      <c r="C22" s="525">
        <v>3959983.4</v>
      </c>
      <c r="D22" s="525">
        <v>3541069.97</v>
      </c>
      <c r="E22" s="525">
        <v>12686669.970000001</v>
      </c>
      <c r="F22" s="525">
        <v>23281048.73</v>
      </c>
      <c r="G22" s="525">
        <v>25460484.809999999</v>
      </c>
      <c r="H22" s="525">
        <v>25356490.109999999</v>
      </c>
      <c r="I22" s="525">
        <v>25224256.25</v>
      </c>
      <c r="J22" s="525">
        <v>21213374.399999999</v>
      </c>
    </row>
    <row r="25" spans="1:10">
      <c r="A25" s="658" t="s">
        <v>6062</v>
      </c>
      <c r="B25" s="648"/>
      <c r="C25" s="648"/>
      <c r="D25" s="648"/>
      <c r="E25" s="648"/>
      <c r="F25" s="648"/>
    </row>
    <row r="26" spans="1:10">
      <c r="A26" s="522" t="s">
        <v>6060</v>
      </c>
      <c r="B26" s="522" t="s">
        <v>6052</v>
      </c>
      <c r="C26" s="522" t="s">
        <v>6053</v>
      </c>
      <c r="D26" s="522" t="s">
        <v>6054</v>
      </c>
      <c r="E26" s="522" t="s">
        <v>6055</v>
      </c>
      <c r="F26" s="522" t="s">
        <v>6056</v>
      </c>
    </row>
    <row r="27" spans="1:10">
      <c r="A27" s="524" t="s">
        <v>46</v>
      </c>
      <c r="B27" s="525">
        <f>SUMIF(BTG!D:D,"Voga",BTG!AW:AW)</f>
        <v>106747180.07000002</v>
      </c>
      <c r="C27" s="525">
        <f>SUMIF(BTG!$D:$D,"Voga",BTG!AX:AX)</f>
        <v>41214461.529999994</v>
      </c>
      <c r="D27" s="525">
        <f>SUMIF(BTG!$D:$D,"Voga",BTG!AY:AY)</f>
        <v>15021997.389999999</v>
      </c>
      <c r="E27" s="525">
        <f>SUMIF(BTG!$D:$D,"Voga",BTG!AZ:AZ)</f>
        <v>11863573.800000001</v>
      </c>
      <c r="F27" s="525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8" t="s">
        <v>6063</v>
      </c>
      <c r="B1" s="528" t="s">
        <v>6064</v>
      </c>
      <c r="C1" s="528" t="s">
        <v>6065</v>
      </c>
      <c r="D1" s="528" t="s">
        <v>6066</v>
      </c>
      <c r="E1" s="528" t="s">
        <v>6067</v>
      </c>
      <c r="F1" s="528" t="s">
        <v>6068</v>
      </c>
      <c r="G1" s="528" t="s">
        <v>6069</v>
      </c>
    </row>
    <row r="2" spans="1:17" ht="15.75" customHeight="1">
      <c r="A2" s="529" t="s">
        <v>6070</v>
      </c>
      <c r="B2" s="530" t="s">
        <v>6071</v>
      </c>
      <c r="C2" s="531">
        <v>30271</v>
      </c>
      <c r="D2" s="530">
        <f t="shared" ref="D2:D14" si="0">DATEDIF(C2,$C$121,"Y")</f>
        <v>37</v>
      </c>
      <c r="E2" s="530" t="s">
        <v>6072</v>
      </c>
      <c r="F2" s="530" t="s">
        <v>6073</v>
      </c>
      <c r="G2" s="131">
        <v>326844</v>
      </c>
      <c r="J2" s="532" t="s">
        <v>6064</v>
      </c>
      <c r="K2" s="530" t="s">
        <v>6057</v>
      </c>
      <c r="L2" s="530" t="s">
        <v>6074</v>
      </c>
      <c r="M2" s="530" t="s">
        <v>6075</v>
      </c>
      <c r="N2" s="530" t="s">
        <v>6074</v>
      </c>
      <c r="O2" s="530" t="s">
        <v>6076</v>
      </c>
    </row>
    <row r="3" spans="1:17" ht="15.75" customHeight="1">
      <c r="A3" s="533" t="s">
        <v>6077</v>
      </c>
      <c r="B3" s="530" t="s">
        <v>5551</v>
      </c>
      <c r="C3" s="531">
        <v>20755</v>
      </c>
      <c r="D3" s="530">
        <f t="shared" si="0"/>
        <v>63</v>
      </c>
      <c r="E3" s="530" t="s">
        <v>6078</v>
      </c>
      <c r="F3" s="530" t="s">
        <v>6073</v>
      </c>
      <c r="G3" s="131">
        <v>100078.05</v>
      </c>
      <c r="J3" s="303" t="s">
        <v>6079</v>
      </c>
      <c r="K3" s="530">
        <f>COUNTIF(B2:B118,"M")</f>
        <v>71</v>
      </c>
      <c r="L3" s="534">
        <f>K3/K5</f>
        <v>0.60683760683760679</v>
      </c>
      <c r="M3" s="535">
        <f>SUMIFS(G2:G118,B2:B118,"M")</f>
        <v>22181805.449999999</v>
      </c>
      <c r="N3" s="536">
        <f>M3/M5</f>
        <v>0.68090083812583502</v>
      </c>
      <c r="O3" s="535">
        <f>M3/COUNTIFS(G2:G118,"&gt;0",B2:B118,"M")</f>
        <v>331071.72313432832</v>
      </c>
      <c r="P3" s="537">
        <f>COUNTIFS(G2:G118,"&gt;0",B2:B118,"M")</f>
        <v>67</v>
      </c>
      <c r="Q3" s="538"/>
    </row>
    <row r="4" spans="1:17" ht="15.75" customHeight="1">
      <c r="A4" s="539" t="s">
        <v>6080</v>
      </c>
      <c r="B4" s="530" t="s">
        <v>6071</v>
      </c>
      <c r="C4" s="531">
        <v>28058</v>
      </c>
      <c r="D4" s="530">
        <f t="shared" si="0"/>
        <v>43</v>
      </c>
      <c r="E4" s="530" t="s">
        <v>6081</v>
      </c>
      <c r="F4" s="530" t="s">
        <v>6073</v>
      </c>
      <c r="G4" s="131">
        <v>49196.01</v>
      </c>
      <c r="J4" s="303" t="s">
        <v>6082</v>
      </c>
      <c r="K4" s="530">
        <f>COUNTIF(B2:B118,"F")</f>
        <v>46</v>
      </c>
      <c r="L4" s="534">
        <f>K4/K5</f>
        <v>0.39316239316239315</v>
      </c>
      <c r="M4" s="535">
        <f>SUMIFS(G2:G118,B2:B118,"F")</f>
        <v>10395339.720000001</v>
      </c>
      <c r="N4" s="536">
        <f>M4/M5</f>
        <v>0.31909916187416493</v>
      </c>
      <c r="O4" s="535">
        <f>M4/COUNTIFS(G2:G118,"&gt;0",B2:B118,"F")</f>
        <v>253544.87121951222</v>
      </c>
      <c r="P4" s="537">
        <f>COUNTIFS(G2:G118,"&gt;0",B2:B118,"F")</f>
        <v>41</v>
      </c>
      <c r="Q4" s="538"/>
    </row>
    <row r="5" spans="1:17" ht="15.75" customHeight="1">
      <c r="A5" s="303" t="s">
        <v>6083</v>
      </c>
      <c r="B5" s="530" t="s">
        <v>6071</v>
      </c>
      <c r="C5" s="531">
        <v>29075</v>
      </c>
      <c r="D5" s="530">
        <f t="shared" si="0"/>
        <v>40</v>
      </c>
      <c r="E5" s="530" t="s">
        <v>6081</v>
      </c>
      <c r="F5" s="530" t="s">
        <v>6073</v>
      </c>
      <c r="G5" s="131">
        <v>100349</v>
      </c>
      <c r="J5" s="303" t="s">
        <v>6057</v>
      </c>
      <c r="K5" s="530">
        <f t="shared" ref="K5:N5" si="1">SUM(K3:K4)</f>
        <v>117</v>
      </c>
      <c r="L5" s="534">
        <f t="shared" si="1"/>
        <v>1</v>
      </c>
      <c r="M5" s="535">
        <f t="shared" si="1"/>
        <v>32577145.170000002</v>
      </c>
      <c r="N5" s="536">
        <f t="shared" si="1"/>
        <v>1</v>
      </c>
      <c r="O5" s="535" t="s">
        <v>3154</v>
      </c>
      <c r="P5" s="537">
        <f>SUM(P3:P4)</f>
        <v>108</v>
      </c>
    </row>
    <row r="6" spans="1:17" ht="15.75" customHeight="1">
      <c r="A6" s="533" t="s">
        <v>6084</v>
      </c>
      <c r="B6" s="530" t="s">
        <v>6071</v>
      </c>
      <c r="C6" s="531">
        <v>26364</v>
      </c>
      <c r="D6" s="530">
        <f t="shared" si="0"/>
        <v>47</v>
      </c>
      <c r="E6" s="530" t="s">
        <v>6081</v>
      </c>
      <c r="F6" s="530" t="s">
        <v>6073</v>
      </c>
      <c r="G6" s="131">
        <v>254439</v>
      </c>
      <c r="P6" s="537"/>
    </row>
    <row r="7" spans="1:17" ht="15.75" customHeight="1">
      <c r="A7" s="533" t="s">
        <v>6085</v>
      </c>
      <c r="B7" s="530" t="s">
        <v>6071</v>
      </c>
      <c r="C7" s="531">
        <v>30591</v>
      </c>
      <c r="D7" s="530">
        <f t="shared" si="0"/>
        <v>36</v>
      </c>
      <c r="E7" s="530" t="s">
        <v>6072</v>
      </c>
      <c r="F7" s="530" t="s">
        <v>6086</v>
      </c>
      <c r="G7" s="131">
        <v>105616</v>
      </c>
      <c r="J7" s="532" t="s">
        <v>6066</v>
      </c>
      <c r="K7" s="530" t="s">
        <v>6057</v>
      </c>
      <c r="L7" s="530" t="s">
        <v>6074</v>
      </c>
      <c r="M7" s="530" t="s">
        <v>6087</v>
      </c>
      <c r="N7" s="530" t="s">
        <v>6074</v>
      </c>
      <c r="O7" s="530" t="s">
        <v>6076</v>
      </c>
      <c r="P7" s="537"/>
    </row>
    <row r="8" spans="1:17" ht="15.75" customHeight="1">
      <c r="A8" s="303" t="s">
        <v>6088</v>
      </c>
      <c r="B8" s="530" t="s">
        <v>6071</v>
      </c>
      <c r="C8" s="531">
        <v>28792</v>
      </c>
      <c r="D8" s="530">
        <f t="shared" si="0"/>
        <v>41</v>
      </c>
      <c r="E8" s="530" t="s">
        <v>6089</v>
      </c>
      <c r="F8" s="530" t="s">
        <v>6073</v>
      </c>
      <c r="G8" s="131">
        <v>1013833</v>
      </c>
      <c r="J8" s="303" t="s">
        <v>6090</v>
      </c>
      <c r="K8" s="530">
        <f>COUNTIFS(D2:D118,"&gt;=18",D2:D118,"&lt;30")</f>
        <v>5</v>
      </c>
      <c r="L8" s="534">
        <f t="shared" ref="L8:L15" si="2">K8/$K$15</f>
        <v>4.5045045045045043E-2</v>
      </c>
      <c r="M8" s="535">
        <f>SUMIFS(G2:G118,D2:D118,"&gt;=18",D2:D118,"&lt;30")</f>
        <v>580732.40999999992</v>
      </c>
      <c r="N8" s="536">
        <f t="shared" ref="N8:N15" si="3">M8/$M$15</f>
        <v>1.8124633245364289E-2</v>
      </c>
      <c r="O8" s="535">
        <f>M8/COUNTIFS(D2:D118,"&gt;=18",D2:D118,"&lt;30",G2:G118,"&gt;0")</f>
        <v>116146.48199999999</v>
      </c>
      <c r="P8" s="537">
        <f>COUNTIFS(D2:D118,"&gt;=18",D2:D118,"&lt;30",G2:G118,"&gt;0")</f>
        <v>5</v>
      </c>
    </row>
    <row r="9" spans="1:17" ht="15.75" customHeight="1">
      <c r="A9" s="303" t="s">
        <v>6091</v>
      </c>
      <c r="B9" s="530" t="s">
        <v>6071</v>
      </c>
      <c r="C9" s="531">
        <v>33605</v>
      </c>
      <c r="D9" s="530">
        <f t="shared" si="0"/>
        <v>28</v>
      </c>
      <c r="E9" s="530" t="s">
        <v>6092</v>
      </c>
      <c r="F9" s="530" t="s">
        <v>6073</v>
      </c>
      <c r="G9" s="131">
        <v>5158.12</v>
      </c>
      <c r="J9" s="303" t="s">
        <v>6093</v>
      </c>
      <c r="K9" s="530">
        <f>COUNTIFS(D2:D118,"&gt;=30",D2:D118,"&lt;40")</f>
        <v>33</v>
      </c>
      <c r="L9" s="534">
        <f t="shared" si="2"/>
        <v>0.29729729729729731</v>
      </c>
      <c r="M9" s="535">
        <f>SUMIFS(G2:G118,D2:D118,"&gt;=30",D2:D118,"&lt;40")</f>
        <v>8235964.8899999997</v>
      </c>
      <c r="N9" s="536">
        <f t="shared" si="3"/>
        <v>0.25704410582654935</v>
      </c>
      <c r="O9" s="535">
        <f>M9/COUNTIFS(D2:D118,"&gt;=30",D2:D118,"&lt;40",G2:G118,"&gt;0")</f>
        <v>265676.28677419352</v>
      </c>
      <c r="P9" s="537">
        <f>COUNTIFS(D2:D118,"&gt;=30",D2:D118,"&lt;40",G2:G118,"&gt;0")</f>
        <v>31</v>
      </c>
    </row>
    <row r="10" spans="1:17" ht="15.75" customHeight="1">
      <c r="A10" s="533" t="s">
        <v>6094</v>
      </c>
      <c r="B10" s="530" t="s">
        <v>5551</v>
      </c>
      <c r="C10" s="531">
        <v>23623</v>
      </c>
      <c r="D10" s="530">
        <f t="shared" si="0"/>
        <v>55</v>
      </c>
      <c r="E10" s="530" t="s">
        <v>6095</v>
      </c>
      <c r="F10" s="530" t="s">
        <v>6073</v>
      </c>
      <c r="G10" s="131">
        <v>928015</v>
      </c>
      <c r="J10" s="303" t="s">
        <v>6096</v>
      </c>
      <c r="K10" s="530">
        <f>COUNTIFS(D2:D118,"&gt;=40",D2:D118,"&lt;50")</f>
        <v>30</v>
      </c>
      <c r="L10" s="534">
        <f t="shared" si="2"/>
        <v>0.27027027027027029</v>
      </c>
      <c r="M10" s="535">
        <f>SUMIFS(G2:G118,D2:D118,"&gt;=40",D2:D118,"&lt;50")</f>
        <v>10741488.870000001</v>
      </c>
      <c r="N10" s="536">
        <f t="shared" si="3"/>
        <v>0.33524140021376203</v>
      </c>
      <c r="O10" s="535">
        <f>M10/COUNTIFS(D2:D118,"&gt;=40",D2:D118,"&lt;50",G2:G118,"&gt;0")</f>
        <v>370396.16793103452</v>
      </c>
      <c r="P10" s="537">
        <f>COUNTIFS(D2:D118,"&gt;=40",D2:D118,"&lt;50",G2:G118,"&gt;0")</f>
        <v>29</v>
      </c>
    </row>
    <row r="11" spans="1:17" ht="15.75" customHeight="1">
      <c r="A11" s="533" t="s">
        <v>6097</v>
      </c>
      <c r="B11" s="530" t="s">
        <v>5551</v>
      </c>
      <c r="C11" s="531">
        <v>31602</v>
      </c>
      <c r="D11" s="530">
        <f t="shared" si="0"/>
        <v>33</v>
      </c>
      <c r="E11" s="530" t="s">
        <v>6098</v>
      </c>
      <c r="F11" s="530" t="s">
        <v>6073</v>
      </c>
      <c r="G11" s="131">
        <v>449686</v>
      </c>
      <c r="J11" s="303" t="s">
        <v>6099</v>
      </c>
      <c r="K11" s="530">
        <f>COUNTIFS(D2:D118,"&gt;=50",D2:D118,"&lt;60")</f>
        <v>22</v>
      </c>
      <c r="L11" s="534">
        <f t="shared" si="2"/>
        <v>0.1981981981981982</v>
      </c>
      <c r="M11" s="535">
        <f>SUMIFS(G2:G118,D2:D118,"&gt;=50",D2:D118,"&lt;60")</f>
        <v>7064823.4100000001</v>
      </c>
      <c r="N11" s="536">
        <f t="shared" si="3"/>
        <v>0.2204928311983034</v>
      </c>
      <c r="O11" s="535">
        <f>M11/COUNTIFS(D2:D118,"&gt;=50",D2:D118,"&lt;60",G2:G118,"&gt;0")</f>
        <v>336420.16238095239</v>
      </c>
      <c r="P11" s="540">
        <f>COUNTIFS(D2:D118,"&gt;=50",D2:D118,"&lt;60",G2:G118,"&gt;0")</f>
        <v>21</v>
      </c>
    </row>
    <row r="12" spans="1:17" ht="15.75" customHeight="1">
      <c r="A12" s="533" t="s">
        <v>6100</v>
      </c>
      <c r="B12" s="530" t="s">
        <v>5551</v>
      </c>
      <c r="C12" s="531">
        <v>24295</v>
      </c>
      <c r="D12" s="530">
        <f t="shared" si="0"/>
        <v>53</v>
      </c>
      <c r="E12" s="530" t="s">
        <v>6101</v>
      </c>
      <c r="F12" s="530" t="s">
        <v>6073</v>
      </c>
      <c r="G12" s="131">
        <v>174816</v>
      </c>
      <c r="J12" s="303" t="s">
        <v>6102</v>
      </c>
      <c r="K12" s="530">
        <f>COUNTIFS(D2:D118,"&gt;=60",D2:D118,"&lt;70")</f>
        <v>16</v>
      </c>
      <c r="L12" s="534">
        <f t="shared" si="2"/>
        <v>0.14414414414414414</v>
      </c>
      <c r="M12" s="535">
        <f>SUMIFS(G2:G118,D2:D118,"&gt;=60",D2:D118,"&lt;70")</f>
        <v>3714393.58</v>
      </c>
      <c r="N12" s="536">
        <f t="shared" si="3"/>
        <v>0.11592606199890874</v>
      </c>
      <c r="O12" s="535">
        <f>M12/COUNTIFS(D2:D118,"&gt;=60",D2:D118,"&lt;70",G2:G118,"&gt;0")</f>
        <v>247626.23866666667</v>
      </c>
      <c r="P12" s="540">
        <f>COUNTIFS(D2:D118,"&gt;=60",D2:D118,"&lt;70",G2:G118,"&gt;0")</f>
        <v>15</v>
      </c>
    </row>
    <row r="13" spans="1:17" ht="15.75" customHeight="1">
      <c r="A13" s="533" t="s">
        <v>6103</v>
      </c>
      <c r="B13" s="530" t="s">
        <v>6071</v>
      </c>
      <c r="C13" s="531">
        <v>13520</v>
      </c>
      <c r="D13" s="530">
        <f t="shared" si="0"/>
        <v>82</v>
      </c>
      <c r="E13" s="530" t="s">
        <v>6104</v>
      </c>
      <c r="F13" s="530" t="s">
        <v>6105</v>
      </c>
      <c r="G13" s="131">
        <v>147417</v>
      </c>
      <c r="J13" s="303" t="s">
        <v>6106</v>
      </c>
      <c r="K13" s="530">
        <f>COUNTIFS(D2:D118,"&gt;70",D2:D118,"&lt;80")</f>
        <v>3</v>
      </c>
      <c r="L13" s="534">
        <f t="shared" si="2"/>
        <v>2.7027027027027029E-2</v>
      </c>
      <c r="M13" s="535">
        <f>SUMIFS(G2:G118,D2:D118,"&gt;=70",D2:D118,"&lt;80")</f>
        <v>1436366.01</v>
      </c>
      <c r="N13" s="536">
        <f t="shared" si="3"/>
        <v>4.4828920668225247E-2</v>
      </c>
      <c r="O13" s="535">
        <f>M13/COUNTIFS(D2:D118,"&gt;=70",D2:D118,"&lt;80",G2:G118,"&gt;0")</f>
        <v>478788.67</v>
      </c>
      <c r="P13" s="540">
        <f>COUNTIFS(D2:D118,"&gt;=70",D2:D118,"&lt;80",G2:G118,"&gt;0")</f>
        <v>3</v>
      </c>
    </row>
    <row r="14" spans="1:17" ht="15.75" customHeight="1">
      <c r="A14" s="533" t="s">
        <v>6107</v>
      </c>
      <c r="B14" s="530" t="s">
        <v>6071</v>
      </c>
      <c r="C14" s="531">
        <v>23066</v>
      </c>
      <c r="D14" s="530">
        <f t="shared" si="0"/>
        <v>56</v>
      </c>
      <c r="E14" s="530" t="s">
        <v>6072</v>
      </c>
      <c r="F14" s="530" t="s">
        <v>6073</v>
      </c>
      <c r="G14" s="131">
        <v>31376</v>
      </c>
      <c r="J14" s="303" t="s">
        <v>6108</v>
      </c>
      <c r="K14" s="530">
        <f>COUNTIFS(D2:D118,"&gt;80",D2:D118,"&lt;90")</f>
        <v>2</v>
      </c>
      <c r="L14" s="534">
        <f t="shared" si="2"/>
        <v>1.8018018018018018E-2</v>
      </c>
      <c r="M14" s="535">
        <f>SUMIFS(G2:G118,D2:D118,"&gt;=80",D2:D118,"&lt;90")</f>
        <v>267288</v>
      </c>
      <c r="N14" s="536">
        <f t="shared" si="3"/>
        <v>8.3420468488867895E-3</v>
      </c>
      <c r="O14" s="535">
        <f>M14/COUNTIFS(D2:D118,"&gt;=80",D2:D118,"&lt;90",G2:G118,"&gt;0")</f>
        <v>133644</v>
      </c>
      <c r="P14" s="540">
        <f>COUNTIFS(D2:D118,"&gt;=80",D2:D118,"&lt;90",G2:G118,"&gt;0")</f>
        <v>2</v>
      </c>
      <c r="Q14" s="540" t="s">
        <v>4848</v>
      </c>
    </row>
    <row r="15" spans="1:17" ht="15.75" customHeight="1">
      <c r="A15" s="541" t="s">
        <v>6109</v>
      </c>
      <c r="B15" s="530" t="s">
        <v>6071</v>
      </c>
      <c r="C15" s="531"/>
      <c r="D15" s="530"/>
      <c r="E15" s="530" t="s">
        <v>6089</v>
      </c>
      <c r="F15" s="530"/>
      <c r="G15" s="131">
        <v>0</v>
      </c>
      <c r="J15" s="303" t="s">
        <v>6057</v>
      </c>
      <c r="K15" s="530">
        <f>SUM(K8:K14)</f>
        <v>111</v>
      </c>
      <c r="L15" s="534">
        <f t="shared" si="2"/>
        <v>1</v>
      </c>
      <c r="M15" s="535">
        <f>SUM(M8:M14)</f>
        <v>32041057.170000006</v>
      </c>
      <c r="N15" s="536">
        <f t="shared" si="3"/>
        <v>1</v>
      </c>
      <c r="O15" s="535">
        <f>M15/COUNTIFS(G2:G118,"&gt;0")</f>
        <v>296676.4552777778</v>
      </c>
      <c r="P15" s="540">
        <f>SUM(P8:P14)</f>
        <v>106</v>
      </c>
    </row>
    <row r="16" spans="1:17" ht="15.75" customHeight="1">
      <c r="A16" s="303" t="s">
        <v>6110</v>
      </c>
      <c r="B16" s="530" t="s">
        <v>5551</v>
      </c>
      <c r="C16" s="531">
        <v>29816</v>
      </c>
      <c r="D16" s="530">
        <f t="shared" ref="D16:D53" si="4">DATEDIF(C16,$C$121,"Y")</f>
        <v>38</v>
      </c>
      <c r="E16" s="530" t="s">
        <v>6098</v>
      </c>
      <c r="F16" s="530" t="s">
        <v>6073</v>
      </c>
      <c r="G16" s="131">
        <v>101819</v>
      </c>
    </row>
    <row r="17" spans="1:18" ht="15.75" customHeight="1">
      <c r="A17" s="533" t="s">
        <v>6111</v>
      </c>
      <c r="B17" s="530" t="s">
        <v>5551</v>
      </c>
      <c r="C17" s="531">
        <v>31091</v>
      </c>
      <c r="D17" s="530">
        <f t="shared" si="4"/>
        <v>34</v>
      </c>
      <c r="E17" s="530" t="s">
        <v>6098</v>
      </c>
      <c r="F17" s="530" t="s">
        <v>6073</v>
      </c>
      <c r="G17" s="131">
        <v>35841.42</v>
      </c>
      <c r="J17" s="528" t="s">
        <v>6067</v>
      </c>
      <c r="K17" s="530" t="s">
        <v>6057</v>
      </c>
      <c r="L17" s="530" t="s">
        <v>6074</v>
      </c>
      <c r="M17" s="530" t="s">
        <v>6112</v>
      </c>
      <c r="N17" s="530" t="s">
        <v>6074</v>
      </c>
      <c r="O17" s="530" t="s">
        <v>6076</v>
      </c>
      <c r="R17" s="540" t="s">
        <v>4848</v>
      </c>
    </row>
    <row r="18" spans="1:18" ht="15.75" customHeight="1">
      <c r="A18" s="533" t="s">
        <v>6113</v>
      </c>
      <c r="B18" s="530" t="s">
        <v>6071</v>
      </c>
      <c r="C18" s="531">
        <v>31386</v>
      </c>
      <c r="D18" s="530">
        <f t="shared" si="4"/>
        <v>34</v>
      </c>
      <c r="E18" s="530" t="s">
        <v>6114</v>
      </c>
      <c r="F18" s="530" t="s">
        <v>6073</v>
      </c>
      <c r="G18" s="131">
        <v>215750</v>
      </c>
      <c r="J18" s="303" t="s">
        <v>6072</v>
      </c>
      <c r="K18" s="530">
        <f>COUNTIF(E2:E118,"Funcionário Público")+COUNTIF(E2:E118,"Funcionária Pública")</f>
        <v>20</v>
      </c>
      <c r="L18" s="534">
        <f t="shared" ref="L18:L28" si="5">K18/$K$28</f>
        <v>0.21978021978021978</v>
      </c>
      <c r="M18" s="535">
        <f>SUMIFS(G2:G118,E2:E118,"Funcionária Pública")+SUMIFS(G2:G118,E2:E118,"Funcionário Público")</f>
        <v>4127437.4699999997</v>
      </c>
      <c r="N18" s="536">
        <f t="shared" ref="N18:N28" si="6">M18/$M$28</f>
        <v>0.12958903055072343</v>
      </c>
      <c r="O18" s="535">
        <f>M18/(COUNTIFS(G2:G118,"&gt;0",E2:E118,"Funcionário Público")+COUNTIFS(G2:G118,"&gt;0",E2:E118,"Funcionária Pública"))</f>
        <v>206371.87349999999</v>
      </c>
      <c r="P18" s="540">
        <f>(COUNTIFS(G2:G118,"&gt;0",E2:E118,"Funcionário Público")+COUNTIFS(G2:G118,"&gt;0",E2:E118,"Funcionária Pública"))</f>
        <v>20</v>
      </c>
    </row>
    <row r="19" spans="1:18" ht="15.75" customHeight="1">
      <c r="A19" s="533" t="s">
        <v>6115</v>
      </c>
      <c r="B19" s="530" t="s">
        <v>6071</v>
      </c>
      <c r="C19" s="531">
        <v>23072</v>
      </c>
      <c r="D19" s="530">
        <f t="shared" si="4"/>
        <v>56</v>
      </c>
      <c r="E19" s="530" t="s">
        <v>6116</v>
      </c>
      <c r="F19" s="530" t="s">
        <v>6073</v>
      </c>
      <c r="G19" s="131">
        <v>132923</v>
      </c>
      <c r="J19" s="303" t="s">
        <v>6089</v>
      </c>
      <c r="K19" s="530">
        <f>COUNTIF(E2:E118,"Empresário")+COUNTIF(E2:E118,"Empresária")</f>
        <v>0</v>
      </c>
      <c r="L19" s="534">
        <f t="shared" si="5"/>
        <v>0</v>
      </c>
      <c r="M19" s="535">
        <f>SUMIFS(G2:G118,E2:E118,"Empresária")+SUMIFS(G2:G118,E2:E118,"Empresário")</f>
        <v>0</v>
      </c>
      <c r="N19" s="536">
        <f t="shared" si="6"/>
        <v>0</v>
      </c>
      <c r="O19" s="535" t="e">
        <f>M19/(COUNTIFS(G2:G118,"&gt;0",E2:E118,"Empresário")+COUNTIFS(G2:G118,"&gt;0",E2:E118,"Empresária"))</f>
        <v>#DIV/0!</v>
      </c>
    </row>
    <row r="20" spans="1:18" ht="15.75" customHeight="1">
      <c r="A20" s="533" t="s">
        <v>5728</v>
      </c>
      <c r="B20" s="530" t="s">
        <v>6071</v>
      </c>
      <c r="C20" s="531">
        <v>29186</v>
      </c>
      <c r="D20" s="530">
        <f t="shared" si="4"/>
        <v>40</v>
      </c>
      <c r="E20" s="530" t="s">
        <v>6092</v>
      </c>
      <c r="F20" s="530" t="s">
        <v>6073</v>
      </c>
      <c r="G20" s="131">
        <f>707418+847182</f>
        <v>1554600</v>
      </c>
      <c r="J20" s="303" t="s">
        <v>6092</v>
      </c>
      <c r="K20" s="530">
        <f>COUNTIF(E4:E120,"Advogado")+COUNTIF(E4:E120,"Advogada")</f>
        <v>12</v>
      </c>
      <c r="L20" s="534">
        <f t="shared" si="5"/>
        <v>0.13186813186813187</v>
      </c>
      <c r="M20" s="535">
        <f>SUMIFS(G2:G118,E2:E118,"Advogado")+SUMIFS(G2:G118,E2:E118,"Advogada")</f>
        <v>4618016.6900000004</v>
      </c>
      <c r="N20" s="536">
        <f t="shared" si="6"/>
        <v>0.14499173161893131</v>
      </c>
      <c r="O20" s="535">
        <f>M20/(COUNTIFS(G2:G118,"&gt;0",E2:E118,"Advogada")+COUNTIFS(G2:G118,"&gt;0",E2:E118,"Advogado"))</f>
        <v>384834.72416666668</v>
      </c>
    </row>
    <row r="21" spans="1:18" ht="15.75" customHeight="1">
      <c r="A21" s="303" t="s">
        <v>6117</v>
      </c>
      <c r="B21" s="530" t="s">
        <v>5551</v>
      </c>
      <c r="C21" s="531">
        <v>30936</v>
      </c>
      <c r="D21" s="530">
        <f t="shared" si="4"/>
        <v>35</v>
      </c>
      <c r="E21" s="530" t="s">
        <v>6118</v>
      </c>
      <c r="F21" s="530" t="s">
        <v>6073</v>
      </c>
      <c r="G21" s="131">
        <v>511766</v>
      </c>
      <c r="H21" s="540"/>
      <c r="I21" s="540"/>
      <c r="J21" s="303" t="s">
        <v>6081</v>
      </c>
      <c r="K21" s="530">
        <f>COUNTIF(E5:E121,"Dentista")</f>
        <v>8</v>
      </c>
      <c r="L21" s="534">
        <f t="shared" si="5"/>
        <v>8.7912087912087919E-2</v>
      </c>
      <c r="M21" s="535">
        <f>SUMIFS(G2:G118,E2:E118,"Dentista")</f>
        <v>1244788.1099999999</v>
      </c>
      <c r="N21" s="536">
        <f t="shared" si="6"/>
        <v>3.9082574984707706E-2</v>
      </c>
      <c r="O21" s="535">
        <f>M21/(COUNTIFS(G2:G118,"&gt;0",E2:E118,"Dentista"))</f>
        <v>155598.51374999998</v>
      </c>
    </row>
    <row r="22" spans="1:18" ht="15.75" customHeight="1">
      <c r="A22" s="533" t="s">
        <v>5716</v>
      </c>
      <c r="B22" s="530" t="s">
        <v>6071</v>
      </c>
      <c r="C22" s="531">
        <v>26191</v>
      </c>
      <c r="D22" s="530">
        <f t="shared" si="4"/>
        <v>48</v>
      </c>
      <c r="E22" s="530" t="s">
        <v>6119</v>
      </c>
      <c r="F22" s="530" t="s">
        <v>6073</v>
      </c>
      <c r="G22" s="131">
        <v>916562</v>
      </c>
      <c r="J22" s="303" t="s">
        <v>6114</v>
      </c>
      <c r="K22" s="530">
        <f>COUNTIF(E6:E122,"Médico")+COUNTIF(E6:E122,"Médica")</f>
        <v>13</v>
      </c>
      <c r="L22" s="534">
        <f t="shared" si="5"/>
        <v>0.14285714285714285</v>
      </c>
      <c r="M22" s="535">
        <f>SUMIFS(G2:G118,E2:E118,"Médico")+SUMIFS(G2:G118,E2:E118,"Médica")</f>
        <v>4432285.66</v>
      </c>
      <c r="N22" s="536">
        <f t="shared" si="6"/>
        <v>0.13916034003618072</v>
      </c>
      <c r="O22" s="535">
        <f>M22/(COUNTIFS(G2:G118,"&gt;0",E2:E118,"Médico")+COUNTIFS(G2:G118,"&gt;0",E2:E118,"Médica"))</f>
        <v>369357.13833333337</v>
      </c>
    </row>
    <row r="23" spans="1:18" ht="15.75" customHeight="1">
      <c r="A23" s="533" t="s">
        <v>6120</v>
      </c>
      <c r="B23" s="530" t="s">
        <v>6071</v>
      </c>
      <c r="C23" s="531">
        <v>32417</v>
      </c>
      <c r="D23" s="530">
        <f t="shared" si="4"/>
        <v>31</v>
      </c>
      <c r="E23" s="530" t="s">
        <v>6089</v>
      </c>
      <c r="F23" s="530" t="s">
        <v>6073</v>
      </c>
      <c r="G23" s="131">
        <v>332795</v>
      </c>
      <c r="J23" s="303" t="s">
        <v>6121</v>
      </c>
      <c r="K23" s="530">
        <f>COUNTIF(E7:E123,"Administrador")+COUNTIF(E7:E123,"Administradora")</f>
        <v>4</v>
      </c>
      <c r="L23" s="534">
        <f t="shared" si="5"/>
        <v>4.3956043956043959E-2</v>
      </c>
      <c r="M23" s="535">
        <f>SUMIFS(G2:G118,E2:E118,"Administradora")+SUMIFS(G2:G118,E2:E118,"Administrador")</f>
        <v>1272485.1700000002</v>
      </c>
      <c r="N23" s="536">
        <f t="shared" si="6"/>
        <v>3.9952178747476585E-2</v>
      </c>
      <c r="O23" s="535">
        <f>M23/(COUNTIFS(G2:G118,"&gt;0",E2:E118,"Administrador")+COUNTIFS(G2:G118,"&gt;0",E2:E118,"Administradora"))</f>
        <v>318121.29250000004</v>
      </c>
      <c r="Q23" s="540" t="s">
        <v>4848</v>
      </c>
    </row>
    <row r="24" spans="1:18" ht="15.75" customHeight="1">
      <c r="A24" s="533" t="s">
        <v>6122</v>
      </c>
      <c r="B24" s="530" t="s">
        <v>5551</v>
      </c>
      <c r="C24" s="531">
        <v>26324</v>
      </c>
      <c r="D24" s="530">
        <f t="shared" si="4"/>
        <v>47</v>
      </c>
      <c r="E24" s="530" t="s">
        <v>6098</v>
      </c>
      <c r="F24" s="530" t="s">
        <v>6073</v>
      </c>
      <c r="G24" s="131">
        <v>191406</v>
      </c>
      <c r="J24" s="303" t="s">
        <v>6116</v>
      </c>
      <c r="K24" s="530">
        <f>COUNTIF(E8:E124,"Engenheiro")+COUNTIF(E8:E124,"Engenheira")</f>
        <v>6</v>
      </c>
      <c r="L24" s="534">
        <f t="shared" si="5"/>
        <v>6.5934065934065936E-2</v>
      </c>
      <c r="M24" s="535">
        <f>SUMIFS(G2:G118,E2:E118,"Engenheira")+SUMIFS(G2:G118,E2:E118,"Engenheiro")</f>
        <v>1370551.77</v>
      </c>
      <c r="N24" s="536">
        <f t="shared" si="6"/>
        <v>4.3031172848725943E-2</v>
      </c>
      <c r="O24" s="535">
        <f>M24/(COUNTIFS(G2:G118,"&gt;0",E2:E118,"Engenheiro")+COUNTIFS(G2:G118,"&gt;0",E2:E118,"Engenheira"))</f>
        <v>228425.29500000001</v>
      </c>
      <c r="Q24" s="540" t="s">
        <v>4848</v>
      </c>
    </row>
    <row r="25" spans="1:18" ht="15.75" customHeight="1">
      <c r="A25" s="533" t="s">
        <v>6123</v>
      </c>
      <c r="B25" s="530" t="s">
        <v>5551</v>
      </c>
      <c r="C25" s="531">
        <v>24529</v>
      </c>
      <c r="D25" s="530">
        <f t="shared" si="4"/>
        <v>52</v>
      </c>
      <c r="E25" s="530" t="s">
        <v>6124</v>
      </c>
      <c r="F25" s="530" t="s">
        <v>6073</v>
      </c>
      <c r="G25" s="131">
        <v>91137</v>
      </c>
      <c r="J25" s="303" t="s">
        <v>6104</v>
      </c>
      <c r="K25" s="530">
        <f>COUNTIF(E9:E125,"Aposentado")+COUNTIF(E9:E125,"Aposentada")</f>
        <v>8</v>
      </c>
      <c r="L25" s="534">
        <f t="shared" si="5"/>
        <v>8.7912087912087919E-2</v>
      </c>
      <c r="M25" s="535">
        <f>SUMIFS(G2:G118,E2:E118,"Aposentada")+SUMIFS(G2:G118,E2:E118,"Aposentado")</f>
        <v>2458722</v>
      </c>
      <c r="N25" s="536">
        <f t="shared" si="6"/>
        <v>7.7196420948743252E-2</v>
      </c>
      <c r="O25" s="535">
        <f>M25/(COUNTIFS(G2:G118,"&gt;0",E2:E118,"Aposentado")+COUNTIFS(G2:G118,"&gt;0",E2:E118,"Aposentada"))</f>
        <v>351246</v>
      </c>
    </row>
    <row r="26" spans="1:18" ht="15.75" customHeight="1">
      <c r="A26" s="539" t="s">
        <v>6125</v>
      </c>
      <c r="B26" s="530" t="s">
        <v>6071</v>
      </c>
      <c r="C26" s="531">
        <v>28883</v>
      </c>
      <c r="D26" s="530">
        <f t="shared" si="4"/>
        <v>40</v>
      </c>
      <c r="E26" s="530" t="s">
        <v>6114</v>
      </c>
      <c r="F26" s="530" t="s">
        <v>6073</v>
      </c>
      <c r="G26" s="131">
        <v>271013.45</v>
      </c>
      <c r="J26" s="303" t="s">
        <v>6126</v>
      </c>
      <c r="K26" s="530">
        <f>COUNTIF(E9:E125,"Autônomo")+COUNTIF(E9:E125,"Autônoma")</f>
        <v>4</v>
      </c>
      <c r="L26" s="534">
        <f t="shared" si="5"/>
        <v>4.3956043956043959E-2</v>
      </c>
      <c r="M26" s="535">
        <f>SUMIFS(G2:G118,E2:E118,"Autônomo")+SUMIFS(G2:G118,E2:E118,"Autônoma")</f>
        <v>1175824.71</v>
      </c>
      <c r="N26" s="536">
        <f t="shared" si="6"/>
        <v>3.691733318166672E-2</v>
      </c>
      <c r="O26" s="535">
        <f>M26/(COUNTIFS(G2:G118,"&gt;0",E2:E118,"Autônomo")+COUNTIFS(G2:G118,"&gt;0",E2:E118,"Autônoma"))</f>
        <v>293956.17749999999</v>
      </c>
    </row>
    <row r="27" spans="1:18" ht="15.75" customHeight="1">
      <c r="A27" s="533" t="s">
        <v>6127</v>
      </c>
      <c r="B27" s="530" t="s">
        <v>5551</v>
      </c>
      <c r="C27" s="531">
        <v>22919</v>
      </c>
      <c r="D27" s="530">
        <f t="shared" si="4"/>
        <v>57</v>
      </c>
      <c r="E27" s="530" t="s">
        <v>6098</v>
      </c>
      <c r="F27" s="530" t="s">
        <v>6073</v>
      </c>
      <c r="G27" s="131">
        <v>187575</v>
      </c>
      <c r="J27" s="303" t="s">
        <v>6128</v>
      </c>
      <c r="K27" s="530">
        <v>16</v>
      </c>
      <c r="L27" s="534">
        <f t="shared" si="5"/>
        <v>0.17582417582417584</v>
      </c>
      <c r="M27" s="535">
        <f>M28-SUM(M18:M26)</f>
        <v>11150095.589999992</v>
      </c>
      <c r="N27" s="536">
        <f t="shared" si="6"/>
        <v>0.35007921708284429</v>
      </c>
      <c r="O27" s="535">
        <f>M27/15</f>
        <v>743339.70599999954</v>
      </c>
    </row>
    <row r="28" spans="1:18" ht="15.75" customHeight="1">
      <c r="A28" s="541" t="s">
        <v>6129</v>
      </c>
      <c r="B28" s="530" t="s">
        <v>5551</v>
      </c>
      <c r="C28" s="531">
        <v>25781</v>
      </c>
      <c r="D28" s="530">
        <f t="shared" si="4"/>
        <v>49</v>
      </c>
      <c r="E28" s="530"/>
      <c r="F28" s="530" t="s">
        <v>6073</v>
      </c>
      <c r="G28" s="131">
        <v>0</v>
      </c>
      <c r="J28" s="303" t="s">
        <v>6057</v>
      </c>
      <c r="K28" s="530">
        <f>SUM(K18:K27)</f>
        <v>91</v>
      </c>
      <c r="L28" s="534">
        <f t="shared" si="5"/>
        <v>1</v>
      </c>
      <c r="M28" s="535">
        <f>SUMIFS(G2:G118,E2:E118,"&lt;&gt;")</f>
        <v>31850207.169999994</v>
      </c>
      <c r="N28" s="536">
        <f t="shared" si="6"/>
        <v>1</v>
      </c>
      <c r="O28" s="535">
        <f>M28/K28</f>
        <v>350002.27659340651</v>
      </c>
    </row>
    <row r="29" spans="1:18" ht="15.75" customHeight="1">
      <c r="A29" s="303" t="s">
        <v>6130</v>
      </c>
      <c r="B29" s="530" t="s">
        <v>6071</v>
      </c>
      <c r="C29" s="531">
        <v>27513</v>
      </c>
      <c r="D29" s="530">
        <f t="shared" si="4"/>
        <v>44</v>
      </c>
      <c r="E29" s="530" t="s">
        <v>6092</v>
      </c>
      <c r="F29" s="530"/>
      <c r="G29" s="131">
        <v>57062.68</v>
      </c>
    </row>
    <row r="30" spans="1:18" ht="15.75" customHeight="1">
      <c r="A30" s="303" t="s">
        <v>6131</v>
      </c>
      <c r="B30" s="530" t="s">
        <v>5551</v>
      </c>
      <c r="C30" s="531">
        <v>22401</v>
      </c>
      <c r="D30" s="530">
        <f t="shared" si="4"/>
        <v>58</v>
      </c>
      <c r="E30" s="530" t="s">
        <v>6098</v>
      </c>
      <c r="F30" s="530" t="s">
        <v>6073</v>
      </c>
      <c r="G30" s="131">
        <v>163478</v>
      </c>
    </row>
    <row r="31" spans="1:18" ht="15.75" customHeight="1">
      <c r="A31" s="541" t="s">
        <v>6132</v>
      </c>
      <c r="B31" s="530" t="s">
        <v>5551</v>
      </c>
      <c r="C31" s="531">
        <v>19484</v>
      </c>
      <c r="D31" s="530">
        <f t="shared" si="4"/>
        <v>66</v>
      </c>
      <c r="E31" s="530" t="s">
        <v>6133</v>
      </c>
      <c r="F31" s="530" t="s">
        <v>6073</v>
      </c>
      <c r="G31" s="131">
        <v>0</v>
      </c>
      <c r="J31" s="528" t="s">
        <v>6069</v>
      </c>
    </row>
    <row r="32" spans="1:18" ht="15.75" customHeight="1">
      <c r="A32" s="533" t="s">
        <v>6134</v>
      </c>
      <c r="B32" s="530" t="s">
        <v>6071</v>
      </c>
      <c r="C32" s="531">
        <v>25747</v>
      </c>
      <c r="D32" s="530">
        <f t="shared" si="4"/>
        <v>49</v>
      </c>
      <c r="E32" s="530" t="s">
        <v>6081</v>
      </c>
      <c r="F32" s="530" t="s">
        <v>6073</v>
      </c>
      <c r="G32" s="131">
        <f>205400+183458</f>
        <v>388858</v>
      </c>
    </row>
    <row r="33" spans="1:12" ht="15.75" customHeight="1">
      <c r="A33" s="533" t="s">
        <v>6135</v>
      </c>
      <c r="B33" s="530" t="s">
        <v>6071</v>
      </c>
      <c r="C33" s="531">
        <v>28151</v>
      </c>
      <c r="D33" s="530">
        <f t="shared" si="4"/>
        <v>42</v>
      </c>
      <c r="E33" s="530" t="s">
        <v>6081</v>
      </c>
      <c r="F33" s="530" t="s">
        <v>6073</v>
      </c>
      <c r="G33" s="131">
        <v>56328</v>
      </c>
    </row>
    <row r="34" spans="1:12" ht="15.75" customHeight="1">
      <c r="A34" s="303" t="s">
        <v>6136</v>
      </c>
      <c r="B34" s="530" t="s">
        <v>6071</v>
      </c>
      <c r="C34" s="531">
        <v>27906</v>
      </c>
      <c r="D34" s="530">
        <f t="shared" si="4"/>
        <v>43</v>
      </c>
      <c r="E34" s="530" t="s">
        <v>6126</v>
      </c>
      <c r="F34" s="530" t="s">
        <v>6073</v>
      </c>
      <c r="G34" s="131">
        <v>257451</v>
      </c>
    </row>
    <row r="35" spans="1:12" ht="15.75" customHeight="1">
      <c r="A35" s="303" t="s">
        <v>6137</v>
      </c>
      <c r="B35" s="530" t="s">
        <v>6071</v>
      </c>
      <c r="C35" s="531">
        <v>28906</v>
      </c>
      <c r="D35" s="530">
        <f t="shared" si="4"/>
        <v>40</v>
      </c>
      <c r="E35" s="530" t="s">
        <v>6092</v>
      </c>
      <c r="F35" s="530" t="s">
        <v>6073</v>
      </c>
      <c r="G35" s="131">
        <v>402433</v>
      </c>
    </row>
    <row r="36" spans="1:12" ht="15.75" customHeight="1">
      <c r="A36" s="533" t="s">
        <v>6138</v>
      </c>
      <c r="B36" s="530" t="s">
        <v>6071</v>
      </c>
      <c r="C36" s="531">
        <v>30587</v>
      </c>
      <c r="D36" s="530">
        <f t="shared" si="4"/>
        <v>36</v>
      </c>
      <c r="E36" s="530" t="s">
        <v>6114</v>
      </c>
      <c r="F36" s="530" t="s">
        <v>6073</v>
      </c>
      <c r="G36" s="131">
        <f>458323+1000228</f>
        <v>1458551</v>
      </c>
    </row>
    <row r="37" spans="1:12" ht="15.75" customHeight="1">
      <c r="A37" s="533" t="s">
        <v>5654</v>
      </c>
      <c r="B37" s="530" t="s">
        <v>5551</v>
      </c>
      <c r="C37" s="531">
        <v>15096</v>
      </c>
      <c r="D37" s="530">
        <f t="shared" si="4"/>
        <v>78</v>
      </c>
      <c r="E37" s="530" t="s">
        <v>6133</v>
      </c>
      <c r="F37" s="530" t="s">
        <v>6073</v>
      </c>
      <c r="G37" s="131">
        <v>179256</v>
      </c>
    </row>
    <row r="38" spans="1:12" ht="15.75" customHeight="1">
      <c r="A38" s="533" t="s">
        <v>6139</v>
      </c>
      <c r="B38" s="530" t="s">
        <v>6071</v>
      </c>
      <c r="C38" s="531">
        <v>27655</v>
      </c>
      <c r="D38" s="530">
        <f t="shared" si="4"/>
        <v>44</v>
      </c>
      <c r="E38" s="530" t="s">
        <v>6116</v>
      </c>
      <c r="F38" s="530" t="s">
        <v>6140</v>
      </c>
      <c r="G38" s="131">
        <v>769189</v>
      </c>
      <c r="J38" s="540" t="s">
        <v>4848</v>
      </c>
    </row>
    <row r="39" spans="1:12" ht="15.75" customHeight="1">
      <c r="A39" s="533" t="s">
        <v>6141</v>
      </c>
      <c r="B39" s="530" t="s">
        <v>6071</v>
      </c>
      <c r="C39" s="531">
        <v>31245</v>
      </c>
      <c r="D39" s="530">
        <f t="shared" si="4"/>
        <v>34</v>
      </c>
      <c r="E39" s="530" t="s">
        <v>6092</v>
      </c>
      <c r="F39" s="530" t="s">
        <v>6073</v>
      </c>
      <c r="G39" s="131">
        <v>166417</v>
      </c>
      <c r="J39" s="540" t="s">
        <v>4848</v>
      </c>
      <c r="K39" s="540" t="s">
        <v>4848</v>
      </c>
    </row>
    <row r="40" spans="1:12" ht="15.75" customHeight="1">
      <c r="A40" s="303" t="s">
        <v>6142</v>
      </c>
      <c r="B40" s="530" t="s">
        <v>6071</v>
      </c>
      <c r="C40" s="531">
        <v>28270</v>
      </c>
      <c r="D40" s="530">
        <f t="shared" si="4"/>
        <v>42</v>
      </c>
      <c r="E40" s="530" t="s">
        <v>6114</v>
      </c>
      <c r="F40" s="530" t="s">
        <v>6073</v>
      </c>
      <c r="G40" s="131">
        <v>208601</v>
      </c>
    </row>
    <row r="41" spans="1:12" ht="15.75" customHeight="1">
      <c r="A41" s="539" t="s">
        <v>4426</v>
      </c>
      <c r="B41" s="530" t="s">
        <v>6071</v>
      </c>
      <c r="C41" s="531">
        <v>23924</v>
      </c>
      <c r="D41" s="530">
        <f t="shared" si="4"/>
        <v>54</v>
      </c>
      <c r="E41" s="530" t="s">
        <v>6092</v>
      </c>
      <c r="F41" s="530"/>
      <c r="G41" s="131">
        <v>278844.53000000003</v>
      </c>
      <c r="J41" s="540" t="s">
        <v>4848</v>
      </c>
    </row>
    <row r="42" spans="1:12" ht="15.75" customHeight="1">
      <c r="A42" s="539" t="s">
        <v>6143</v>
      </c>
      <c r="B42" s="530" t="s">
        <v>6071</v>
      </c>
      <c r="C42" s="531">
        <v>33469</v>
      </c>
      <c r="D42" s="530">
        <f t="shared" si="4"/>
        <v>28</v>
      </c>
      <c r="E42" s="530" t="s">
        <v>6072</v>
      </c>
      <c r="F42" s="530" t="s">
        <v>6144</v>
      </c>
      <c r="G42" s="131">
        <v>131927</v>
      </c>
      <c r="J42" s="540" t="s">
        <v>4848</v>
      </c>
    </row>
    <row r="43" spans="1:12" ht="15.75" customHeight="1">
      <c r="A43" s="533" t="s">
        <v>6145</v>
      </c>
      <c r="B43" s="530" t="s">
        <v>6071</v>
      </c>
      <c r="C43" s="531">
        <v>25643</v>
      </c>
      <c r="D43" s="530">
        <f t="shared" si="4"/>
        <v>49</v>
      </c>
      <c r="E43" s="530" t="s">
        <v>6114</v>
      </c>
      <c r="F43" s="530" t="s">
        <v>6073</v>
      </c>
      <c r="G43" s="131">
        <v>506417</v>
      </c>
      <c r="K43" s="540" t="s">
        <v>4848</v>
      </c>
      <c r="L43" s="540" t="s">
        <v>4848</v>
      </c>
    </row>
    <row r="44" spans="1:12" ht="15.75" customHeight="1">
      <c r="A44" s="539" t="s">
        <v>6146</v>
      </c>
      <c r="B44" s="530" t="s">
        <v>6071</v>
      </c>
      <c r="C44" s="531">
        <v>32920</v>
      </c>
      <c r="D44" s="530">
        <f t="shared" si="4"/>
        <v>29</v>
      </c>
      <c r="E44" s="530" t="s">
        <v>6092</v>
      </c>
      <c r="F44" s="530" t="s">
        <v>6073</v>
      </c>
      <c r="G44" s="131">
        <v>123215.73</v>
      </c>
      <c r="K44" s="540" t="s">
        <v>4848</v>
      </c>
    </row>
    <row r="45" spans="1:12" ht="15.75" customHeight="1">
      <c r="A45" s="533" t="s">
        <v>6147</v>
      </c>
      <c r="B45" s="530" t="s">
        <v>6071</v>
      </c>
      <c r="C45" s="531">
        <v>30264</v>
      </c>
      <c r="D45" s="530">
        <f t="shared" si="4"/>
        <v>37</v>
      </c>
      <c r="E45" s="530" t="s">
        <v>6089</v>
      </c>
      <c r="F45" s="530" t="s">
        <v>6073</v>
      </c>
      <c r="G45" s="131">
        <v>141649</v>
      </c>
    </row>
    <row r="46" spans="1:12" ht="15.75" customHeight="1">
      <c r="A46" s="533" t="s">
        <v>6148</v>
      </c>
      <c r="B46" s="530" t="s">
        <v>5551</v>
      </c>
      <c r="C46" s="531">
        <v>18097</v>
      </c>
      <c r="D46" s="530">
        <f t="shared" si="4"/>
        <v>70</v>
      </c>
      <c r="E46" s="530" t="s">
        <v>6133</v>
      </c>
      <c r="F46" s="530" t="s">
        <v>6073</v>
      </c>
      <c r="G46" s="131">
        <f>913577+225360</f>
        <v>1138937</v>
      </c>
    </row>
    <row r="47" spans="1:12" ht="15.75" customHeight="1">
      <c r="A47" s="539" t="s">
        <v>4527</v>
      </c>
      <c r="B47" s="530" t="s">
        <v>6071</v>
      </c>
      <c r="C47" s="531">
        <v>24085</v>
      </c>
      <c r="D47" s="530">
        <f t="shared" si="4"/>
        <v>54</v>
      </c>
      <c r="E47" s="530" t="s">
        <v>6149</v>
      </c>
      <c r="F47" s="530"/>
      <c r="G47" s="131">
        <v>611765.67000000004</v>
      </c>
      <c r="L47" s="540" t="s">
        <v>4848</v>
      </c>
    </row>
    <row r="48" spans="1:12" ht="15.75" customHeight="1">
      <c r="A48" s="542" t="s">
        <v>6150</v>
      </c>
      <c r="B48" s="530" t="s">
        <v>5551</v>
      </c>
      <c r="C48" s="531">
        <v>31943</v>
      </c>
      <c r="D48" s="530">
        <f t="shared" si="4"/>
        <v>32</v>
      </c>
      <c r="E48" s="530" t="s">
        <v>6151</v>
      </c>
      <c r="F48" s="530" t="s">
        <v>6073</v>
      </c>
      <c r="G48" s="131">
        <v>275126</v>
      </c>
    </row>
    <row r="49" spans="1:11" ht="15.75" customHeight="1">
      <c r="A49" s="542" t="s">
        <v>6152</v>
      </c>
      <c r="B49" s="530" t="s">
        <v>6071</v>
      </c>
      <c r="C49" s="531">
        <v>26994</v>
      </c>
      <c r="D49" s="530">
        <f t="shared" si="4"/>
        <v>46</v>
      </c>
      <c r="E49" s="530" t="s">
        <v>6089</v>
      </c>
      <c r="F49" s="530" t="s">
        <v>6073</v>
      </c>
      <c r="G49" s="131">
        <v>395619</v>
      </c>
    </row>
    <row r="50" spans="1:11" ht="15.75" customHeight="1">
      <c r="A50" s="542" t="s">
        <v>6153</v>
      </c>
      <c r="B50" s="530" t="s">
        <v>6071</v>
      </c>
      <c r="C50" s="531">
        <v>32175</v>
      </c>
      <c r="D50" s="530">
        <f t="shared" si="4"/>
        <v>31</v>
      </c>
      <c r="E50" s="530" t="s">
        <v>6089</v>
      </c>
      <c r="F50" s="530" t="s">
        <v>6073</v>
      </c>
      <c r="G50" s="131">
        <v>125506</v>
      </c>
      <c r="J50" s="540" t="s">
        <v>4848</v>
      </c>
    </row>
    <row r="51" spans="1:11" ht="15.75" customHeight="1">
      <c r="A51" s="543" t="s">
        <v>6154</v>
      </c>
      <c r="B51" s="530" t="s">
        <v>6071</v>
      </c>
      <c r="C51" s="531">
        <v>29879</v>
      </c>
      <c r="D51" s="530">
        <f t="shared" si="4"/>
        <v>38</v>
      </c>
      <c r="E51" s="530" t="s">
        <v>6114</v>
      </c>
      <c r="F51" s="530" t="s">
        <v>6073</v>
      </c>
      <c r="G51" s="131">
        <f>165123+165077</f>
        <v>330200</v>
      </c>
      <c r="J51" s="540" t="s">
        <v>4848</v>
      </c>
    </row>
    <row r="52" spans="1:11" ht="15.75" customHeight="1">
      <c r="A52" s="533" t="s">
        <v>6155</v>
      </c>
      <c r="B52" s="530" t="s">
        <v>6071</v>
      </c>
      <c r="C52" s="531">
        <v>22158</v>
      </c>
      <c r="D52" s="530">
        <f t="shared" si="4"/>
        <v>59</v>
      </c>
      <c r="E52" s="530" t="s">
        <v>6156</v>
      </c>
      <c r="F52" s="530" t="s">
        <v>6073</v>
      </c>
      <c r="G52" s="131">
        <v>167058</v>
      </c>
    </row>
    <row r="53" spans="1:11" ht="15.75" customHeight="1">
      <c r="A53" s="542" t="s">
        <v>6157</v>
      </c>
      <c r="B53" s="530" t="s">
        <v>6071</v>
      </c>
      <c r="C53" s="531">
        <v>13343</v>
      </c>
      <c r="D53" s="530">
        <f t="shared" si="4"/>
        <v>83</v>
      </c>
      <c r="E53" s="530" t="s">
        <v>6104</v>
      </c>
      <c r="F53" s="530" t="s">
        <v>6073</v>
      </c>
      <c r="G53" s="131">
        <v>119871</v>
      </c>
      <c r="J53" s="540" t="s">
        <v>4848</v>
      </c>
    </row>
    <row r="54" spans="1:11" ht="15.75" customHeight="1">
      <c r="A54" s="544" t="s">
        <v>6158</v>
      </c>
      <c r="B54" s="530" t="s">
        <v>5551</v>
      </c>
      <c r="C54" s="531"/>
      <c r="D54" s="530"/>
      <c r="E54" s="530" t="s">
        <v>6159</v>
      </c>
      <c r="F54" s="530"/>
      <c r="G54" s="131">
        <v>0</v>
      </c>
    </row>
    <row r="55" spans="1:11" ht="15.75" customHeight="1">
      <c r="A55" s="543" t="s">
        <v>6160</v>
      </c>
      <c r="B55" s="530" t="s">
        <v>6071</v>
      </c>
      <c r="C55" s="531">
        <v>23916</v>
      </c>
      <c r="D55" s="530">
        <f t="shared" ref="D55:D78" si="7">DATEDIF(C55,$C$121,"Y")</f>
        <v>54</v>
      </c>
      <c r="E55" s="530" t="s">
        <v>6089</v>
      </c>
      <c r="F55" s="530" t="s">
        <v>6073</v>
      </c>
      <c r="G55" s="131">
        <v>314725</v>
      </c>
    </row>
    <row r="56" spans="1:11" ht="15.75" customHeight="1">
      <c r="A56" s="543" t="s">
        <v>5719</v>
      </c>
      <c r="B56" s="530" t="s">
        <v>6071</v>
      </c>
      <c r="C56" s="531">
        <v>29508</v>
      </c>
      <c r="D56" s="530">
        <f t="shared" si="7"/>
        <v>39</v>
      </c>
      <c r="E56" s="530" t="s">
        <v>6119</v>
      </c>
      <c r="F56" s="530" t="s">
        <v>6073</v>
      </c>
      <c r="G56" s="131">
        <v>105215.56</v>
      </c>
    </row>
    <row r="57" spans="1:11" ht="15.75" customHeight="1">
      <c r="A57" s="542" t="s">
        <v>6161</v>
      </c>
      <c r="B57" s="530" t="s">
        <v>6071</v>
      </c>
      <c r="C57" s="531">
        <v>31417</v>
      </c>
      <c r="D57" s="530">
        <f t="shared" si="7"/>
        <v>33</v>
      </c>
      <c r="E57" s="530" t="s">
        <v>6089</v>
      </c>
      <c r="F57" s="530" t="s">
        <v>6073</v>
      </c>
      <c r="G57" s="131">
        <f>360253+251068</f>
        <v>611321</v>
      </c>
    </row>
    <row r="58" spans="1:11" ht="15.75" customHeight="1">
      <c r="A58" s="542" t="s">
        <v>6162</v>
      </c>
      <c r="B58" s="530" t="s">
        <v>5551</v>
      </c>
      <c r="C58" s="531">
        <v>27619</v>
      </c>
      <c r="D58" s="530">
        <f t="shared" si="7"/>
        <v>44</v>
      </c>
      <c r="E58" s="530" t="s">
        <v>6098</v>
      </c>
      <c r="F58" s="530" t="s">
        <v>6073</v>
      </c>
      <c r="G58" s="131">
        <v>189120</v>
      </c>
    </row>
    <row r="59" spans="1:11" ht="15.75" customHeight="1">
      <c r="A59" s="543" t="s">
        <v>6163</v>
      </c>
      <c r="B59" s="530" t="s">
        <v>5551</v>
      </c>
      <c r="C59" s="531">
        <v>21213</v>
      </c>
      <c r="D59" s="530">
        <f t="shared" si="7"/>
        <v>61</v>
      </c>
      <c r="E59" s="530" t="s">
        <v>6081</v>
      </c>
      <c r="F59" s="530" t="s">
        <v>6140</v>
      </c>
      <c r="G59" s="131">
        <v>16764.63</v>
      </c>
    </row>
    <row r="60" spans="1:11" ht="15.75" customHeight="1">
      <c r="A60" s="542" t="s">
        <v>6164</v>
      </c>
      <c r="B60" s="530" t="s">
        <v>6071</v>
      </c>
      <c r="C60" s="531">
        <v>20736</v>
      </c>
      <c r="D60" s="530">
        <f t="shared" si="7"/>
        <v>63</v>
      </c>
      <c r="E60" s="530"/>
      <c r="F60" s="530" t="s">
        <v>6073</v>
      </c>
      <c r="G60" s="131">
        <v>129393</v>
      </c>
    </row>
    <row r="61" spans="1:11" ht="15.75" customHeight="1">
      <c r="A61" s="545" t="s">
        <v>6165</v>
      </c>
      <c r="B61" s="530" t="s">
        <v>6071</v>
      </c>
      <c r="C61" s="531">
        <v>21535</v>
      </c>
      <c r="D61" s="530">
        <f t="shared" si="7"/>
        <v>61</v>
      </c>
      <c r="E61" s="530" t="s">
        <v>6072</v>
      </c>
      <c r="F61" s="530" t="s">
        <v>6073</v>
      </c>
      <c r="G61" s="131">
        <v>69611</v>
      </c>
      <c r="K61" s="540"/>
    </row>
    <row r="62" spans="1:11" ht="15.75" customHeight="1">
      <c r="A62" s="533" t="s">
        <v>6166</v>
      </c>
      <c r="B62" s="530" t="s">
        <v>5551</v>
      </c>
      <c r="C62" s="531">
        <v>28071</v>
      </c>
      <c r="D62" s="530">
        <f t="shared" si="7"/>
        <v>43</v>
      </c>
      <c r="E62" s="530" t="s">
        <v>6167</v>
      </c>
      <c r="F62" s="530" t="s">
        <v>6073</v>
      </c>
      <c r="G62" s="131">
        <f>419503+311767</f>
        <v>731270</v>
      </c>
    </row>
    <row r="63" spans="1:11" ht="15.75" customHeight="1">
      <c r="A63" s="539" t="s">
        <v>6168</v>
      </c>
      <c r="B63" s="530" t="s">
        <v>6071</v>
      </c>
      <c r="C63" s="531">
        <v>27745</v>
      </c>
      <c r="D63" s="530">
        <f t="shared" si="7"/>
        <v>44</v>
      </c>
      <c r="E63" s="530" t="s">
        <v>6092</v>
      </c>
      <c r="F63" s="530" t="s">
        <v>6073</v>
      </c>
      <c r="G63" s="131">
        <f>994319.81+157168</f>
        <v>1151487.81</v>
      </c>
      <c r="J63" s="540" t="s">
        <v>4848</v>
      </c>
    </row>
    <row r="64" spans="1:11" ht="15.75" customHeight="1">
      <c r="A64" s="533" t="s">
        <v>6169</v>
      </c>
      <c r="B64" s="530" t="s">
        <v>5551</v>
      </c>
      <c r="C64" s="531">
        <v>24999</v>
      </c>
      <c r="D64" s="530">
        <f t="shared" si="7"/>
        <v>51</v>
      </c>
      <c r="E64" s="530" t="s">
        <v>6170</v>
      </c>
      <c r="F64" s="530" t="s">
        <v>6073</v>
      </c>
      <c r="G64" s="131">
        <v>108326</v>
      </c>
      <c r="J64" s="540" t="s">
        <v>4848</v>
      </c>
    </row>
    <row r="65" spans="1:12" ht="15.75" customHeight="1">
      <c r="A65" s="533" t="s">
        <v>6171</v>
      </c>
      <c r="B65" s="530" t="s">
        <v>5551</v>
      </c>
      <c r="C65" s="531">
        <v>18771</v>
      </c>
      <c r="D65" s="530">
        <f t="shared" si="7"/>
        <v>68</v>
      </c>
      <c r="E65" s="530" t="s">
        <v>6133</v>
      </c>
      <c r="F65" s="530" t="s">
        <v>6073</v>
      </c>
      <c r="G65" s="131">
        <v>92609</v>
      </c>
    </row>
    <row r="66" spans="1:12" ht="15.75" customHeight="1">
      <c r="A66" s="303" t="s">
        <v>6172</v>
      </c>
      <c r="B66" s="530" t="s">
        <v>5551</v>
      </c>
      <c r="C66" s="531">
        <v>27098</v>
      </c>
      <c r="D66" s="530">
        <f t="shared" si="7"/>
        <v>45</v>
      </c>
      <c r="E66" s="530" t="s">
        <v>6098</v>
      </c>
      <c r="F66" s="530" t="s">
        <v>6073</v>
      </c>
      <c r="G66" s="131">
        <v>44491.05</v>
      </c>
      <c r="L66" s="540" t="s">
        <v>4848</v>
      </c>
    </row>
    <row r="67" spans="1:12" ht="15.75" customHeight="1">
      <c r="A67" s="533" t="s">
        <v>6173</v>
      </c>
      <c r="B67" s="530" t="s">
        <v>5551</v>
      </c>
      <c r="C67" s="531">
        <v>21881</v>
      </c>
      <c r="D67" s="530">
        <f t="shared" si="7"/>
        <v>60</v>
      </c>
      <c r="E67" s="530" t="s">
        <v>6174</v>
      </c>
      <c r="F67" s="530" t="s">
        <v>6073</v>
      </c>
      <c r="G67" s="131">
        <v>253693</v>
      </c>
      <c r="J67" s="540" t="s">
        <v>4848</v>
      </c>
    </row>
    <row r="68" spans="1:12" ht="15.75" customHeight="1">
      <c r="A68" s="303" t="s">
        <v>6175</v>
      </c>
      <c r="B68" s="530" t="s">
        <v>5551</v>
      </c>
      <c r="C68" s="531">
        <v>20961</v>
      </c>
      <c r="D68" s="530">
        <f t="shared" si="7"/>
        <v>62</v>
      </c>
      <c r="E68" s="530" t="s">
        <v>6176</v>
      </c>
      <c r="F68" s="530" t="s">
        <v>6073</v>
      </c>
      <c r="G68" s="131">
        <v>268632.52</v>
      </c>
      <c r="J68" s="540" t="s">
        <v>4848</v>
      </c>
    </row>
    <row r="69" spans="1:12" ht="15.75" customHeight="1">
      <c r="A69" s="541" t="s">
        <v>6177</v>
      </c>
      <c r="B69" s="530" t="s">
        <v>5551</v>
      </c>
      <c r="C69" s="531">
        <v>16541</v>
      </c>
      <c r="D69" s="530">
        <f t="shared" si="7"/>
        <v>74</v>
      </c>
      <c r="E69" s="530" t="s">
        <v>6178</v>
      </c>
      <c r="F69" s="530" t="s">
        <v>6073</v>
      </c>
      <c r="G69" s="131">
        <v>0</v>
      </c>
      <c r="L69" s="540" t="s">
        <v>4848</v>
      </c>
    </row>
    <row r="70" spans="1:12" ht="15.75" customHeight="1">
      <c r="A70" s="303" t="s">
        <v>6179</v>
      </c>
      <c r="B70" s="530" t="s">
        <v>5551</v>
      </c>
      <c r="C70" s="531">
        <v>17371</v>
      </c>
      <c r="D70" s="530">
        <f t="shared" si="7"/>
        <v>72</v>
      </c>
      <c r="E70" s="530" t="s">
        <v>6159</v>
      </c>
      <c r="F70" s="530" t="s">
        <v>6140</v>
      </c>
      <c r="G70" s="131">
        <v>118173.01</v>
      </c>
    </row>
    <row r="71" spans="1:12" ht="15.75" customHeight="1">
      <c r="A71" s="533" t="s">
        <v>6180</v>
      </c>
      <c r="B71" s="530" t="s">
        <v>5551</v>
      </c>
      <c r="C71" s="531">
        <v>22041</v>
      </c>
      <c r="D71" s="530">
        <f t="shared" si="7"/>
        <v>59</v>
      </c>
      <c r="E71" s="530" t="s">
        <v>6159</v>
      </c>
      <c r="F71" s="530" t="s">
        <v>6073</v>
      </c>
      <c r="G71" s="131">
        <v>177455</v>
      </c>
      <c r="K71" s="540" t="s">
        <v>4848</v>
      </c>
    </row>
    <row r="72" spans="1:12" ht="15.75" customHeight="1">
      <c r="A72" s="533" t="s">
        <v>6181</v>
      </c>
      <c r="B72" s="530" t="s">
        <v>6071</v>
      </c>
      <c r="C72" s="531">
        <v>28553</v>
      </c>
      <c r="D72" s="530">
        <f t="shared" si="7"/>
        <v>41</v>
      </c>
      <c r="E72" s="530" t="s">
        <v>6114</v>
      </c>
      <c r="F72" s="530" t="s">
        <v>6073</v>
      </c>
      <c r="G72" s="131">
        <v>115496</v>
      </c>
      <c r="J72" s="540" t="s">
        <v>4848</v>
      </c>
    </row>
    <row r="73" spans="1:12" ht="15.75" customHeight="1">
      <c r="A73" s="533" t="s">
        <v>6182</v>
      </c>
      <c r="B73" s="530" t="s">
        <v>6071</v>
      </c>
      <c r="C73" s="531">
        <v>28738</v>
      </c>
      <c r="D73" s="530">
        <f t="shared" si="7"/>
        <v>41</v>
      </c>
      <c r="E73" s="530" t="s">
        <v>6092</v>
      </c>
      <c r="F73" s="530" t="s">
        <v>6073</v>
      </c>
      <c r="G73" s="131">
        <v>261709</v>
      </c>
    </row>
    <row r="74" spans="1:12" ht="15.75" customHeight="1">
      <c r="A74" s="303" t="s">
        <v>6183</v>
      </c>
      <c r="B74" s="530" t="s">
        <v>6071</v>
      </c>
      <c r="C74" s="531">
        <v>24095</v>
      </c>
      <c r="D74" s="530">
        <f t="shared" si="7"/>
        <v>54</v>
      </c>
      <c r="E74" s="530" t="s">
        <v>6089</v>
      </c>
      <c r="F74" s="530" t="s">
        <v>6073</v>
      </c>
      <c r="G74" s="131">
        <v>0</v>
      </c>
    </row>
    <row r="75" spans="1:12" ht="15.75" customHeight="1">
      <c r="A75" s="539" t="s">
        <v>2115</v>
      </c>
      <c r="B75" s="530" t="s">
        <v>5551</v>
      </c>
      <c r="C75" s="531">
        <v>25216</v>
      </c>
      <c r="D75" s="530">
        <f t="shared" si="7"/>
        <v>50</v>
      </c>
      <c r="E75" s="530" t="s">
        <v>6184</v>
      </c>
      <c r="F75" s="530"/>
      <c r="G75" s="131">
        <v>695297.71</v>
      </c>
      <c r="J75" s="540" t="s">
        <v>4848</v>
      </c>
    </row>
    <row r="76" spans="1:12" ht="15.75" customHeight="1">
      <c r="A76" s="303" t="s">
        <v>6185</v>
      </c>
      <c r="B76" s="530" t="s">
        <v>6071</v>
      </c>
      <c r="C76" s="531">
        <v>32329</v>
      </c>
      <c r="D76" s="530">
        <f t="shared" si="7"/>
        <v>31</v>
      </c>
      <c r="E76" s="530" t="s">
        <v>6089</v>
      </c>
      <c r="F76" s="530" t="s">
        <v>6073</v>
      </c>
      <c r="G76" s="131">
        <v>184409</v>
      </c>
      <c r="J76" s="540" t="s">
        <v>4848</v>
      </c>
    </row>
    <row r="77" spans="1:12" ht="15.75" customHeight="1">
      <c r="A77" s="533" t="s">
        <v>6186</v>
      </c>
      <c r="B77" s="530" t="s">
        <v>5551</v>
      </c>
      <c r="C77" s="531">
        <v>30849</v>
      </c>
      <c r="D77" s="530">
        <f t="shared" si="7"/>
        <v>35</v>
      </c>
      <c r="E77" s="530" t="s">
        <v>6098</v>
      </c>
      <c r="F77" s="530" t="s">
        <v>6073</v>
      </c>
      <c r="G77" s="131">
        <v>117498</v>
      </c>
      <c r="K77" s="540" t="s">
        <v>4848</v>
      </c>
    </row>
    <row r="78" spans="1:12" ht="15.75" customHeight="1">
      <c r="A78" s="533" t="s">
        <v>6187</v>
      </c>
      <c r="B78" s="530" t="s">
        <v>5551</v>
      </c>
      <c r="C78" s="531">
        <v>31945</v>
      </c>
      <c r="D78" s="530">
        <f t="shared" si="7"/>
        <v>32</v>
      </c>
      <c r="E78" s="530" t="s">
        <v>6098</v>
      </c>
      <c r="F78" s="530" t="s">
        <v>6073</v>
      </c>
      <c r="G78" s="131">
        <f>286683+108380</f>
        <v>395063</v>
      </c>
      <c r="J78" s="540" t="s">
        <v>4848</v>
      </c>
    </row>
    <row r="79" spans="1:12" ht="15.75" customHeight="1">
      <c r="A79" s="533" t="s">
        <v>6188</v>
      </c>
      <c r="B79" s="530" t="s">
        <v>5551</v>
      </c>
      <c r="C79" s="531"/>
      <c r="D79" s="530"/>
      <c r="E79" s="530"/>
      <c r="F79" s="530" t="s">
        <v>6073</v>
      </c>
      <c r="G79" s="131">
        <v>422200</v>
      </c>
    </row>
    <row r="80" spans="1:12" ht="15.75" customHeight="1">
      <c r="A80" s="539" t="s">
        <v>6189</v>
      </c>
      <c r="B80" s="530" t="s">
        <v>6071</v>
      </c>
      <c r="C80" s="531">
        <v>34492</v>
      </c>
      <c r="D80" s="530">
        <f t="shared" ref="D80:D83" si="8">DATEDIF(C80,$C$121,"Y")</f>
        <v>25</v>
      </c>
      <c r="E80" s="530" t="s">
        <v>6114</v>
      </c>
      <c r="F80" s="530" t="s">
        <v>6190</v>
      </c>
      <c r="G80" s="131">
        <v>82175.56</v>
      </c>
      <c r="K80" s="540" t="s">
        <v>4848</v>
      </c>
    </row>
    <row r="81" spans="1:11" ht="15.75" customHeight="1">
      <c r="A81" s="303" t="s">
        <v>6191</v>
      </c>
      <c r="B81" s="530" t="s">
        <v>6071</v>
      </c>
      <c r="C81" s="531">
        <v>20947</v>
      </c>
      <c r="D81" s="530">
        <f t="shared" si="8"/>
        <v>62</v>
      </c>
      <c r="E81" s="530" t="s">
        <v>6089</v>
      </c>
      <c r="F81" s="530" t="s">
        <v>6192</v>
      </c>
      <c r="G81" s="131">
        <v>100737.25</v>
      </c>
    </row>
    <row r="82" spans="1:11" ht="15.75" customHeight="1">
      <c r="A82" s="539" t="s">
        <v>3421</v>
      </c>
      <c r="B82" s="530" t="s">
        <v>6071</v>
      </c>
      <c r="C82" s="531">
        <v>29139</v>
      </c>
      <c r="D82" s="530">
        <f t="shared" si="8"/>
        <v>40</v>
      </c>
      <c r="E82" s="530" t="s">
        <v>6092</v>
      </c>
      <c r="F82" s="530"/>
      <c r="G82" s="131">
        <v>310286.32</v>
      </c>
    </row>
    <row r="83" spans="1:11" ht="15.75" customHeight="1">
      <c r="A83" s="533" t="s">
        <v>6193</v>
      </c>
      <c r="B83" s="530" t="s">
        <v>6071</v>
      </c>
      <c r="C83" s="531">
        <v>31630</v>
      </c>
      <c r="D83" s="530">
        <f t="shared" si="8"/>
        <v>33</v>
      </c>
      <c r="E83" s="530" t="s">
        <v>6114</v>
      </c>
      <c r="F83" s="530" t="s">
        <v>6073</v>
      </c>
      <c r="G83" s="131">
        <v>0</v>
      </c>
      <c r="J83" s="540" t="s">
        <v>4848</v>
      </c>
    </row>
    <row r="84" spans="1:11" ht="15.75" customHeight="1">
      <c r="A84" s="533" t="s">
        <v>6194</v>
      </c>
      <c r="B84" s="530" t="s">
        <v>6071</v>
      </c>
      <c r="C84" s="531"/>
      <c r="D84" s="530"/>
      <c r="E84" s="530"/>
      <c r="F84" s="530" t="s">
        <v>6073</v>
      </c>
      <c r="G84" s="131">
        <v>113888</v>
      </c>
      <c r="K84" s="540" t="s">
        <v>4848</v>
      </c>
    </row>
    <row r="85" spans="1:11" ht="15.75" customHeight="1">
      <c r="A85" s="533" t="s">
        <v>6195</v>
      </c>
      <c r="B85" s="530" t="s">
        <v>6071</v>
      </c>
      <c r="C85" s="531">
        <v>28975</v>
      </c>
      <c r="D85" s="530">
        <f t="shared" ref="D85:D89" si="9">DATEDIF(C85,$C$121,"Y")</f>
        <v>40</v>
      </c>
      <c r="E85" s="530" t="s">
        <v>6116</v>
      </c>
      <c r="F85" s="530" t="s">
        <v>6073</v>
      </c>
      <c r="G85" s="131">
        <v>126001</v>
      </c>
    </row>
    <row r="86" spans="1:11" ht="15.75" customHeight="1">
      <c r="A86" s="533" t="s">
        <v>5436</v>
      </c>
      <c r="B86" s="530" t="s">
        <v>6071</v>
      </c>
      <c r="C86" s="531">
        <v>23401</v>
      </c>
      <c r="D86" s="530">
        <f t="shared" si="9"/>
        <v>55</v>
      </c>
      <c r="E86" s="530" t="s">
        <v>6089</v>
      </c>
      <c r="F86" s="530" t="s">
        <v>6073</v>
      </c>
      <c r="G86" s="131">
        <f>532885+733156+661796</f>
        <v>1927837</v>
      </c>
      <c r="J86" s="540" t="s">
        <v>4848</v>
      </c>
    </row>
    <row r="87" spans="1:11" ht="15.75" customHeight="1">
      <c r="A87" s="533" t="s">
        <v>6196</v>
      </c>
      <c r="B87" s="530" t="s">
        <v>6071</v>
      </c>
      <c r="C87" s="531">
        <v>31878</v>
      </c>
      <c r="D87" s="530">
        <f t="shared" si="9"/>
        <v>32</v>
      </c>
      <c r="E87" s="530" t="s">
        <v>6197</v>
      </c>
      <c r="F87" s="530" t="s">
        <v>6073</v>
      </c>
      <c r="G87" s="131">
        <v>377504</v>
      </c>
      <c r="K87" s="540" t="s">
        <v>4848</v>
      </c>
    </row>
    <row r="88" spans="1:11" ht="15.75" customHeight="1">
      <c r="A88" s="541" t="s">
        <v>6198</v>
      </c>
      <c r="B88" s="530" t="s">
        <v>6071</v>
      </c>
      <c r="C88" s="531">
        <v>31643</v>
      </c>
      <c r="D88" s="530">
        <f t="shared" si="9"/>
        <v>33</v>
      </c>
      <c r="E88" s="530" t="s">
        <v>6081</v>
      </c>
      <c r="F88" s="530" t="s">
        <v>3154</v>
      </c>
      <c r="G88" s="131">
        <v>0</v>
      </c>
      <c r="J88" s="540" t="s">
        <v>4848</v>
      </c>
    </row>
    <row r="89" spans="1:11" ht="15.75" customHeight="1">
      <c r="A89" s="303" t="s">
        <v>6199</v>
      </c>
      <c r="B89" s="530" t="s">
        <v>6071</v>
      </c>
      <c r="C89" s="531">
        <v>32438</v>
      </c>
      <c r="D89" s="530">
        <f t="shared" si="9"/>
        <v>31</v>
      </c>
      <c r="E89" s="530" t="s">
        <v>6126</v>
      </c>
      <c r="F89" s="530" t="s">
        <v>6073</v>
      </c>
      <c r="G89" s="131">
        <v>119890</v>
      </c>
      <c r="J89" s="540" t="s">
        <v>4848</v>
      </c>
    </row>
    <row r="90" spans="1:11" ht="15.75" customHeight="1">
      <c r="A90" s="303" t="s">
        <v>6200</v>
      </c>
      <c r="B90" s="530" t="s">
        <v>5551</v>
      </c>
      <c r="C90" s="531"/>
      <c r="D90" s="530"/>
      <c r="E90" s="530" t="s">
        <v>6078</v>
      </c>
      <c r="F90" s="530"/>
      <c r="G90" s="131"/>
      <c r="J90" s="540"/>
    </row>
    <row r="91" spans="1:11" ht="15.75" customHeight="1">
      <c r="A91" s="539" t="s">
        <v>5056</v>
      </c>
      <c r="B91" s="530" t="s">
        <v>6071</v>
      </c>
      <c r="C91" s="531">
        <v>31537</v>
      </c>
      <c r="D91" s="530">
        <f t="shared" ref="D91:D118" si="10">DATEDIF(C91,$C$121,"Y")</f>
        <v>33</v>
      </c>
      <c r="E91" s="530" t="s">
        <v>6089</v>
      </c>
      <c r="F91" s="530"/>
      <c r="G91" s="131">
        <v>403425.55</v>
      </c>
      <c r="J91" s="540" t="s">
        <v>4848</v>
      </c>
    </row>
    <row r="92" spans="1:11" ht="15.75" customHeight="1">
      <c r="A92" s="533" t="s">
        <v>6201</v>
      </c>
      <c r="B92" s="530" t="s">
        <v>6071</v>
      </c>
      <c r="C92" s="531">
        <v>32791</v>
      </c>
      <c r="D92" s="530">
        <f t="shared" si="10"/>
        <v>30</v>
      </c>
      <c r="E92" s="530" t="s">
        <v>6114</v>
      </c>
      <c r="F92" s="530" t="s">
        <v>6073</v>
      </c>
      <c r="G92" s="131">
        <v>153385</v>
      </c>
      <c r="J92" s="540" t="s">
        <v>4848</v>
      </c>
    </row>
    <row r="93" spans="1:11" ht="15.75" customHeight="1">
      <c r="A93" s="303" t="s">
        <v>6202</v>
      </c>
      <c r="B93" s="530" t="s">
        <v>5551</v>
      </c>
      <c r="C93" s="531">
        <v>32384</v>
      </c>
      <c r="D93" s="530">
        <f t="shared" si="10"/>
        <v>31</v>
      </c>
      <c r="E93" s="530" t="s">
        <v>6101</v>
      </c>
      <c r="F93" s="530" t="s">
        <v>6073</v>
      </c>
      <c r="G93" s="131">
        <v>96201.29</v>
      </c>
      <c r="J93" s="540" t="s">
        <v>4848</v>
      </c>
      <c r="K93" s="540" t="s">
        <v>4848</v>
      </c>
    </row>
    <row r="94" spans="1:11" ht="15.75" customHeight="1">
      <c r="A94" s="533" t="s">
        <v>6203</v>
      </c>
      <c r="B94" s="530" t="s">
        <v>5551</v>
      </c>
      <c r="C94" s="531">
        <v>25391</v>
      </c>
      <c r="D94" s="530">
        <f t="shared" si="10"/>
        <v>50</v>
      </c>
      <c r="E94" s="530" t="s">
        <v>6098</v>
      </c>
      <c r="F94" s="530" t="s">
        <v>6073</v>
      </c>
      <c r="G94" s="131">
        <v>59844</v>
      </c>
      <c r="J94" s="540" t="s">
        <v>4848</v>
      </c>
    </row>
    <row r="95" spans="1:11" ht="15.75" customHeight="1">
      <c r="A95" s="533" t="s">
        <v>6204</v>
      </c>
      <c r="B95" s="530" t="s">
        <v>6071</v>
      </c>
      <c r="C95" s="531">
        <v>24203</v>
      </c>
      <c r="D95" s="530">
        <f t="shared" si="10"/>
        <v>53</v>
      </c>
      <c r="E95" s="530" t="s">
        <v>6089</v>
      </c>
      <c r="F95" s="530" t="s">
        <v>6073</v>
      </c>
      <c r="G95" s="131">
        <v>308040</v>
      </c>
    </row>
    <row r="96" spans="1:11" ht="15.75" customHeight="1">
      <c r="A96" s="533" t="s">
        <v>6205</v>
      </c>
      <c r="B96" s="530" t="s">
        <v>6071</v>
      </c>
      <c r="C96" s="531">
        <v>20888</v>
      </c>
      <c r="D96" s="530">
        <f t="shared" si="10"/>
        <v>62</v>
      </c>
      <c r="E96" s="530" t="s">
        <v>6072</v>
      </c>
      <c r="F96" s="530" t="s">
        <v>6073</v>
      </c>
      <c r="G96" s="131">
        <v>1017197</v>
      </c>
      <c r="J96" s="540" t="s">
        <v>4848</v>
      </c>
      <c r="K96" s="540" t="s">
        <v>4848</v>
      </c>
    </row>
    <row r="97" spans="1:13" ht="15.75" customHeight="1">
      <c r="A97" s="303" t="s">
        <v>6206</v>
      </c>
      <c r="B97" s="530" t="s">
        <v>6071</v>
      </c>
      <c r="C97" s="531">
        <v>21799</v>
      </c>
      <c r="D97" s="530">
        <f t="shared" si="10"/>
        <v>60</v>
      </c>
      <c r="E97" s="530" t="s">
        <v>6116</v>
      </c>
      <c r="F97" s="530" t="s">
        <v>6073</v>
      </c>
      <c r="G97" s="131">
        <v>71421.48</v>
      </c>
    </row>
    <row r="98" spans="1:13" ht="15.75" customHeight="1">
      <c r="A98" s="533" t="s">
        <v>6207</v>
      </c>
      <c r="B98" s="530" t="s">
        <v>5551</v>
      </c>
      <c r="C98" s="531">
        <v>21043</v>
      </c>
      <c r="D98" s="530">
        <f t="shared" si="10"/>
        <v>62</v>
      </c>
      <c r="E98" s="530" t="s">
        <v>6159</v>
      </c>
      <c r="F98" s="530" t="s">
        <v>6073</v>
      </c>
      <c r="G98" s="131">
        <v>67969</v>
      </c>
      <c r="J98" s="540" t="s">
        <v>4848</v>
      </c>
    </row>
    <row r="99" spans="1:13" ht="15.75" customHeight="1">
      <c r="A99" s="533" t="s">
        <v>6208</v>
      </c>
      <c r="B99" s="530" t="s">
        <v>6071</v>
      </c>
      <c r="C99" s="531">
        <v>29136</v>
      </c>
      <c r="D99" s="530">
        <f t="shared" si="10"/>
        <v>40</v>
      </c>
      <c r="E99" s="530" t="s">
        <v>6072</v>
      </c>
      <c r="F99" s="530" t="s">
        <v>6073</v>
      </c>
      <c r="G99" s="131">
        <v>62757</v>
      </c>
    </row>
    <row r="100" spans="1:13" ht="15.75" customHeight="1">
      <c r="A100" s="533" t="s">
        <v>6209</v>
      </c>
      <c r="B100" s="530" t="s">
        <v>6071</v>
      </c>
      <c r="C100" s="531">
        <v>32029</v>
      </c>
      <c r="D100" s="530">
        <f t="shared" si="10"/>
        <v>32</v>
      </c>
      <c r="E100" s="530" t="s">
        <v>6072</v>
      </c>
      <c r="F100" s="530" t="s">
        <v>6073</v>
      </c>
      <c r="G100" s="131">
        <f>133946+176866</f>
        <v>310812</v>
      </c>
      <c r="J100" s="540" t="s">
        <v>4848</v>
      </c>
    </row>
    <row r="101" spans="1:13" ht="15.75" customHeight="1">
      <c r="A101" s="533" t="s">
        <v>6210</v>
      </c>
      <c r="B101" s="530" t="s">
        <v>6071</v>
      </c>
      <c r="C101" s="531">
        <v>24485</v>
      </c>
      <c r="D101" s="530">
        <f t="shared" si="10"/>
        <v>52</v>
      </c>
      <c r="E101" s="530" t="s">
        <v>6114</v>
      </c>
      <c r="F101" s="530" t="s">
        <v>6073</v>
      </c>
      <c r="G101" s="131">
        <v>60784</v>
      </c>
    </row>
    <row r="102" spans="1:13" ht="15.75" customHeight="1">
      <c r="A102" s="539" t="s">
        <v>5177</v>
      </c>
      <c r="B102" s="530" t="s">
        <v>5551</v>
      </c>
      <c r="C102" s="531">
        <v>21939</v>
      </c>
      <c r="D102" s="530">
        <f t="shared" si="10"/>
        <v>59</v>
      </c>
      <c r="E102" s="530" t="s">
        <v>6170</v>
      </c>
      <c r="F102" s="530"/>
      <c r="G102" s="131">
        <v>198476.5</v>
      </c>
    </row>
    <row r="103" spans="1:13" ht="15.75" customHeight="1">
      <c r="A103" s="539" t="s">
        <v>6211</v>
      </c>
      <c r="B103" s="530" t="s">
        <v>6071</v>
      </c>
      <c r="C103" s="531">
        <v>27955</v>
      </c>
      <c r="D103" s="530">
        <f t="shared" si="10"/>
        <v>43</v>
      </c>
      <c r="E103" s="530" t="s">
        <v>6119</v>
      </c>
      <c r="F103" s="530" t="s">
        <v>6073</v>
      </c>
      <c r="G103" s="131">
        <v>150629.56</v>
      </c>
      <c r="M103" s="540" t="s">
        <v>4848</v>
      </c>
    </row>
    <row r="104" spans="1:13" ht="15.75" customHeight="1">
      <c r="A104" s="533" t="s">
        <v>6212</v>
      </c>
      <c r="B104" s="530" t="s">
        <v>5551</v>
      </c>
      <c r="C104" s="531">
        <v>28704</v>
      </c>
      <c r="D104" s="530">
        <f t="shared" si="10"/>
        <v>41</v>
      </c>
      <c r="E104" s="530" t="s">
        <v>6081</v>
      </c>
      <c r="F104" s="530" t="s">
        <v>6140</v>
      </c>
      <c r="G104" s="131">
        <v>100118.47</v>
      </c>
      <c r="H104" s="540"/>
      <c r="I104" s="540"/>
    </row>
    <row r="105" spans="1:13" ht="15.75" customHeight="1">
      <c r="A105" s="539" t="s">
        <v>5193</v>
      </c>
      <c r="B105" s="530" t="s">
        <v>5551</v>
      </c>
      <c r="C105" s="531">
        <v>29520</v>
      </c>
      <c r="D105" s="530">
        <f t="shared" si="10"/>
        <v>39</v>
      </c>
      <c r="E105" s="530" t="s">
        <v>6213</v>
      </c>
      <c r="F105" s="530"/>
      <c r="G105" s="131">
        <v>354808.07</v>
      </c>
      <c r="L105" s="540" t="s">
        <v>4848</v>
      </c>
    </row>
    <row r="106" spans="1:13" ht="15.75" customHeight="1">
      <c r="A106" s="303" t="s">
        <v>6214</v>
      </c>
      <c r="B106" s="530" t="s">
        <v>5551</v>
      </c>
      <c r="C106" s="531">
        <v>29544</v>
      </c>
      <c r="D106" s="530">
        <f t="shared" si="10"/>
        <v>39</v>
      </c>
      <c r="E106" s="530" t="s">
        <v>6184</v>
      </c>
      <c r="F106" s="530" t="s">
        <v>6073</v>
      </c>
      <c r="G106" s="131">
        <v>103186</v>
      </c>
      <c r="K106" s="540" t="s">
        <v>4848</v>
      </c>
    </row>
    <row r="107" spans="1:13" ht="15.75" customHeight="1">
      <c r="A107" s="533" t="s">
        <v>6215</v>
      </c>
      <c r="B107" s="530" t="s">
        <v>5551</v>
      </c>
      <c r="C107" s="531">
        <v>21261</v>
      </c>
      <c r="D107" s="530">
        <f t="shared" si="10"/>
        <v>61</v>
      </c>
      <c r="E107" s="530" t="s">
        <v>6216</v>
      </c>
      <c r="F107" s="530" t="s">
        <v>6105</v>
      </c>
      <c r="G107" s="131">
        <v>210352</v>
      </c>
      <c r="J107" s="540" t="s">
        <v>4848</v>
      </c>
    </row>
    <row r="108" spans="1:13" ht="15.75" customHeight="1">
      <c r="A108" s="539" t="s">
        <v>5226</v>
      </c>
      <c r="B108" s="530" t="s">
        <v>6071</v>
      </c>
      <c r="C108" s="531">
        <v>21704</v>
      </c>
      <c r="D108" s="530">
        <f t="shared" si="10"/>
        <v>60</v>
      </c>
      <c r="E108" s="530" t="s">
        <v>6114</v>
      </c>
      <c r="F108" s="530"/>
      <c r="G108" s="131">
        <v>518146.65</v>
      </c>
      <c r="K108" s="540" t="s">
        <v>4848</v>
      </c>
    </row>
    <row r="109" spans="1:13" ht="15.75" customHeight="1">
      <c r="A109" s="303" t="s">
        <v>5671</v>
      </c>
      <c r="B109" s="530" t="s">
        <v>5551</v>
      </c>
      <c r="C109" s="531">
        <v>21926</v>
      </c>
      <c r="D109" s="530">
        <f t="shared" si="10"/>
        <v>59</v>
      </c>
      <c r="E109" s="530" t="s">
        <v>6133</v>
      </c>
      <c r="F109" s="530" t="s">
        <v>6073</v>
      </c>
      <c r="G109" s="131">
        <v>168315</v>
      </c>
    </row>
    <row r="110" spans="1:13" ht="15.75" customHeight="1">
      <c r="A110" s="533" t="s">
        <v>6217</v>
      </c>
      <c r="B110" s="530" t="s">
        <v>5551</v>
      </c>
      <c r="C110" s="531">
        <v>31805</v>
      </c>
      <c r="D110" s="530">
        <f t="shared" si="10"/>
        <v>32</v>
      </c>
      <c r="E110" s="530" t="s">
        <v>6218</v>
      </c>
      <c r="F110" s="530" t="s">
        <v>6073</v>
      </c>
      <c r="G110" s="131">
        <v>123497</v>
      </c>
    </row>
    <row r="111" spans="1:13" ht="15.75" customHeight="1">
      <c r="A111" s="533" t="s">
        <v>6219</v>
      </c>
      <c r="B111" s="530" t="s">
        <v>5551</v>
      </c>
      <c r="C111" s="531">
        <v>32080</v>
      </c>
      <c r="D111" s="530">
        <f t="shared" si="10"/>
        <v>32</v>
      </c>
      <c r="E111" s="530" t="s">
        <v>6098</v>
      </c>
      <c r="F111" s="530" t="s">
        <v>6073</v>
      </c>
      <c r="G111" s="131">
        <v>135476</v>
      </c>
    </row>
    <row r="112" spans="1:13" ht="15.75" customHeight="1">
      <c r="A112" s="533" t="s">
        <v>6220</v>
      </c>
      <c r="B112" s="530" t="s">
        <v>5551</v>
      </c>
      <c r="C112" s="531">
        <v>32700</v>
      </c>
      <c r="D112" s="530">
        <f t="shared" si="10"/>
        <v>30</v>
      </c>
      <c r="E112" s="530" t="s">
        <v>6221</v>
      </c>
      <c r="F112" s="530" t="s">
        <v>6073</v>
      </c>
      <c r="G112" s="131">
        <v>5250</v>
      </c>
      <c r="J112" s="540" t="s">
        <v>4848</v>
      </c>
    </row>
    <row r="113" spans="1:12" ht="15.75" customHeight="1">
      <c r="A113" s="533" t="s">
        <v>6222</v>
      </c>
      <c r="B113" s="530" t="s">
        <v>6071</v>
      </c>
      <c r="C113" s="531">
        <v>29491</v>
      </c>
      <c r="D113" s="530">
        <f t="shared" si="10"/>
        <v>39</v>
      </c>
      <c r="E113" s="530"/>
      <c r="F113" s="530" t="s">
        <v>6073</v>
      </c>
      <c r="G113" s="131">
        <v>61457</v>
      </c>
      <c r="J113" s="540" t="s">
        <v>4848</v>
      </c>
    </row>
    <row r="114" spans="1:12" ht="15.75" customHeight="1">
      <c r="A114" s="541" t="s">
        <v>6223</v>
      </c>
      <c r="B114" s="530" t="s">
        <v>6071</v>
      </c>
      <c r="C114" s="531">
        <v>20383</v>
      </c>
      <c r="D114" s="530">
        <f t="shared" si="10"/>
        <v>64</v>
      </c>
      <c r="E114" s="530" t="s">
        <v>6224</v>
      </c>
      <c r="F114" s="530" t="s">
        <v>6073</v>
      </c>
      <c r="G114" s="131">
        <v>185472</v>
      </c>
      <c r="J114" s="540" t="s">
        <v>4848</v>
      </c>
      <c r="K114" s="540" t="s">
        <v>4848</v>
      </c>
    </row>
    <row r="115" spans="1:12" ht="15.75" customHeight="1">
      <c r="A115" s="303" t="s">
        <v>6225</v>
      </c>
      <c r="B115" s="530" t="s">
        <v>6071</v>
      </c>
      <c r="C115" s="531">
        <v>36924</v>
      </c>
      <c r="D115" s="530">
        <f t="shared" si="10"/>
        <v>18</v>
      </c>
      <c r="E115" s="530" t="s">
        <v>6089</v>
      </c>
      <c r="F115" s="530" t="s">
        <v>6073</v>
      </c>
      <c r="G115" s="131">
        <v>238256</v>
      </c>
      <c r="L115" s="540" t="s">
        <v>4848</v>
      </c>
    </row>
    <row r="116" spans="1:12" ht="15.75" customHeight="1">
      <c r="A116" s="533" t="s">
        <v>6226</v>
      </c>
      <c r="B116" s="530" t="s">
        <v>5551</v>
      </c>
      <c r="C116" s="531">
        <v>21111</v>
      </c>
      <c r="D116" s="530">
        <f t="shared" si="10"/>
        <v>62</v>
      </c>
      <c r="E116" s="530" t="s">
        <v>6133</v>
      </c>
      <c r="F116" s="530" t="s">
        <v>6073</v>
      </c>
      <c r="G116" s="131">
        <v>612317</v>
      </c>
    </row>
    <row r="117" spans="1:12" ht="15.75" customHeight="1">
      <c r="A117" s="533" t="s">
        <v>6227</v>
      </c>
      <c r="B117" s="530" t="s">
        <v>6071</v>
      </c>
      <c r="C117" s="531">
        <v>24865</v>
      </c>
      <c r="D117" s="530">
        <f t="shared" si="10"/>
        <v>51</v>
      </c>
      <c r="E117" s="530" t="s">
        <v>6081</v>
      </c>
      <c r="F117" s="530" t="s">
        <v>6073</v>
      </c>
      <c r="G117" s="131">
        <v>278735</v>
      </c>
    </row>
    <row r="118" spans="1:12" ht="15.75" customHeight="1">
      <c r="A118" s="539" t="s">
        <v>2852</v>
      </c>
      <c r="B118" s="530" t="s">
        <v>6071</v>
      </c>
      <c r="C118" s="531">
        <v>28041</v>
      </c>
      <c r="D118" s="530">
        <f t="shared" si="10"/>
        <v>43</v>
      </c>
      <c r="E118" s="530" t="s">
        <v>6228</v>
      </c>
      <c r="F118" s="530"/>
      <c r="G118" s="131">
        <v>104765.52</v>
      </c>
    </row>
    <row r="119" spans="1:12" ht="15.75" customHeight="1">
      <c r="B119" s="546"/>
      <c r="C119" s="546" t="s">
        <v>6229</v>
      </c>
      <c r="D119" s="546"/>
      <c r="E119" s="546" t="s">
        <v>6229</v>
      </c>
      <c r="F119" s="546"/>
      <c r="G119" s="546" t="s">
        <v>6057</v>
      </c>
    </row>
    <row r="120" spans="1:12" ht="15.75" customHeight="1">
      <c r="B120" s="546"/>
      <c r="C120" s="546">
        <f>COUNTIF(C2:C118,"")</f>
        <v>5</v>
      </c>
      <c r="D120" s="546"/>
      <c r="E120" s="546">
        <f>COUNTIF(E2:E118,"")</f>
        <v>5</v>
      </c>
      <c r="F120" s="546"/>
      <c r="G120" s="547">
        <f>SUM(G2:G119)</f>
        <v>32577145.169999994</v>
      </c>
      <c r="J120" s="540" t="s">
        <v>4848</v>
      </c>
    </row>
    <row r="121" spans="1:12" ht="15.75" customHeight="1">
      <c r="B121" s="546"/>
      <c r="C121" s="548">
        <v>43833</v>
      </c>
      <c r="D121" s="546"/>
      <c r="E121" s="546"/>
      <c r="F121" s="546"/>
    </row>
    <row r="122" spans="1:12" ht="15.75" customHeight="1">
      <c r="B122" s="546"/>
      <c r="C122" s="546"/>
      <c r="D122" s="546"/>
      <c r="E122" s="546"/>
      <c r="F122" s="546"/>
    </row>
    <row r="123" spans="1:12" ht="15.75" customHeight="1">
      <c r="B123" s="546"/>
      <c r="C123" s="546"/>
      <c r="D123" s="546"/>
      <c r="E123" s="546"/>
      <c r="F123" s="546"/>
    </row>
    <row r="124" spans="1:12" ht="15.75" customHeight="1">
      <c r="B124" s="546"/>
      <c r="C124" s="546"/>
      <c r="D124" s="546"/>
      <c r="E124" s="546"/>
      <c r="F124" s="546"/>
    </row>
    <row r="125" spans="1:12" ht="15.75" customHeight="1">
      <c r="A125" s="303" t="s">
        <v>6230</v>
      </c>
      <c r="B125" s="535">
        <v>32622060.02</v>
      </c>
      <c r="C125" s="535">
        <v>799508.4</v>
      </c>
      <c r="D125" s="535">
        <v>7162789.7199999997</v>
      </c>
      <c r="E125" s="549">
        <f t="shared" ref="E125:E127" si="11">SUM(B125:D125)</f>
        <v>40584358.140000001</v>
      </c>
      <c r="F125" s="546"/>
    </row>
    <row r="126" spans="1:12" ht="15.75" customHeight="1">
      <c r="A126" s="303" t="s">
        <v>6231</v>
      </c>
      <c r="B126" s="535">
        <v>35079752.100000001</v>
      </c>
      <c r="C126" s="535">
        <v>1206943.1499999999</v>
      </c>
      <c r="D126" s="535">
        <v>7539307.3899999997</v>
      </c>
      <c r="E126" s="549">
        <f t="shared" si="11"/>
        <v>43826002.640000001</v>
      </c>
      <c r="F126" s="546"/>
    </row>
    <row r="127" spans="1:12" ht="15.75" customHeight="1">
      <c r="A127" s="303" t="s">
        <v>6232</v>
      </c>
      <c r="B127" s="535">
        <v>32362436.780000001</v>
      </c>
      <c r="C127" s="535">
        <v>1197314.5900000001</v>
      </c>
      <c r="D127" s="535">
        <v>6426195.5899999999</v>
      </c>
      <c r="E127" s="549">
        <f t="shared" si="11"/>
        <v>39985946.960000008</v>
      </c>
      <c r="F127" s="546"/>
    </row>
    <row r="128" spans="1:12" ht="15.75" customHeight="1">
      <c r="B128" s="546"/>
      <c r="C128" s="546"/>
      <c r="D128" s="546"/>
      <c r="E128" s="546"/>
      <c r="F128" s="546"/>
    </row>
    <row r="129" spans="2:6" ht="15.75" customHeight="1">
      <c r="B129" s="546"/>
      <c r="C129" s="546"/>
      <c r="D129" s="546"/>
      <c r="E129" s="546"/>
      <c r="F129" s="546"/>
    </row>
    <row r="130" spans="2:6" ht="15.75" customHeight="1">
      <c r="B130" s="546"/>
      <c r="C130" s="546"/>
      <c r="D130" s="546"/>
      <c r="E130" s="546"/>
      <c r="F130" s="546"/>
    </row>
    <row r="131" spans="2:6" ht="15.75" customHeight="1">
      <c r="B131" s="546"/>
      <c r="C131" s="546"/>
      <c r="D131" s="546"/>
      <c r="E131" s="546"/>
      <c r="F131" s="546"/>
    </row>
    <row r="132" spans="2:6" ht="15.75" customHeight="1">
      <c r="B132" s="546"/>
      <c r="C132" s="546"/>
      <c r="D132" s="546"/>
      <c r="E132" s="546"/>
      <c r="F132" s="546"/>
    </row>
    <row r="133" spans="2:6" ht="15.75" customHeight="1">
      <c r="B133" s="546"/>
      <c r="C133" s="546"/>
      <c r="D133" s="546"/>
      <c r="E133" s="546"/>
      <c r="F133" s="546"/>
    </row>
    <row r="134" spans="2:6" ht="15.75" customHeight="1">
      <c r="B134" s="546"/>
      <c r="C134" s="546"/>
      <c r="D134" s="546"/>
      <c r="E134" s="546"/>
      <c r="F134" s="546"/>
    </row>
    <row r="135" spans="2:6" ht="15.75" customHeight="1">
      <c r="B135" s="546"/>
      <c r="C135" s="546"/>
      <c r="D135" s="546"/>
      <c r="E135" s="546"/>
      <c r="F135" s="546"/>
    </row>
    <row r="136" spans="2:6" ht="15.75" customHeight="1">
      <c r="B136" s="546"/>
      <c r="C136" s="546"/>
      <c r="D136" s="546"/>
      <c r="E136" s="546"/>
      <c r="F136" s="546"/>
    </row>
    <row r="137" spans="2:6" ht="15.75" customHeight="1">
      <c r="B137" s="546"/>
      <c r="C137" s="546"/>
      <c r="D137" s="546"/>
      <c r="E137" s="546"/>
      <c r="F137" s="546"/>
    </row>
    <row r="138" spans="2:6" ht="15.75" customHeight="1">
      <c r="B138" s="546"/>
      <c r="C138" s="546"/>
      <c r="D138" s="546"/>
      <c r="E138" s="546"/>
      <c r="F138" s="546"/>
    </row>
    <row r="139" spans="2:6" ht="15.75" customHeight="1">
      <c r="B139" s="546"/>
      <c r="C139" s="546"/>
      <c r="D139" s="546"/>
      <c r="E139" s="546"/>
      <c r="F139" s="546"/>
    </row>
    <row r="140" spans="2:6" ht="15.75" customHeight="1">
      <c r="B140" s="546"/>
      <c r="C140" s="546"/>
      <c r="D140" s="546"/>
      <c r="E140" s="546"/>
      <c r="F140" s="546"/>
    </row>
    <row r="141" spans="2:6" ht="15.75" customHeight="1">
      <c r="B141" s="546"/>
      <c r="C141" s="546"/>
      <c r="D141" s="546"/>
      <c r="E141" s="546"/>
      <c r="F141" s="546"/>
    </row>
    <row r="142" spans="2:6" ht="15.75" customHeight="1">
      <c r="B142" s="546"/>
      <c r="C142" s="546"/>
      <c r="D142" s="546"/>
      <c r="E142" s="546"/>
      <c r="F142" s="546"/>
    </row>
    <row r="143" spans="2:6" ht="15.75" customHeight="1">
      <c r="B143" s="546"/>
      <c r="C143" s="546"/>
      <c r="D143" s="546"/>
      <c r="E143" s="546"/>
      <c r="F143" s="546"/>
    </row>
    <row r="144" spans="2:6" ht="15.75" customHeight="1">
      <c r="B144" s="546"/>
      <c r="C144" s="546"/>
      <c r="D144" s="546"/>
      <c r="E144" s="546"/>
      <c r="F144" s="546"/>
    </row>
    <row r="145" spans="2:6" ht="15.75" customHeight="1">
      <c r="B145" s="546"/>
      <c r="C145" s="546"/>
      <c r="D145" s="546"/>
      <c r="E145" s="546"/>
      <c r="F145" s="546"/>
    </row>
    <row r="146" spans="2:6" ht="15.75" customHeight="1">
      <c r="B146" s="546"/>
      <c r="C146" s="546"/>
      <c r="D146" s="546"/>
      <c r="E146" s="546"/>
      <c r="F146" s="546"/>
    </row>
    <row r="147" spans="2:6" ht="15.75" customHeight="1">
      <c r="B147" s="546"/>
      <c r="C147" s="546"/>
      <c r="D147" s="546"/>
      <c r="E147" s="546"/>
      <c r="F147" s="546"/>
    </row>
    <row r="148" spans="2:6" ht="15.75" customHeight="1">
      <c r="B148" s="546"/>
      <c r="C148" s="546"/>
      <c r="D148" s="546"/>
      <c r="E148" s="546"/>
      <c r="F148" s="546"/>
    </row>
    <row r="149" spans="2:6" ht="15.75" customHeight="1">
      <c r="B149" s="546"/>
      <c r="C149" s="546"/>
      <c r="D149" s="546"/>
      <c r="E149" s="546"/>
      <c r="F149" s="546"/>
    </row>
    <row r="150" spans="2:6" ht="15.75" customHeight="1">
      <c r="B150" s="546"/>
      <c r="C150" s="546"/>
      <c r="D150" s="546"/>
      <c r="E150" s="546"/>
      <c r="F150" s="546"/>
    </row>
    <row r="151" spans="2:6" ht="15.75" customHeight="1">
      <c r="B151" s="546"/>
      <c r="C151" s="546"/>
      <c r="D151" s="546"/>
      <c r="E151" s="546"/>
      <c r="F151" s="546"/>
    </row>
    <row r="152" spans="2:6" ht="15.75" customHeight="1">
      <c r="B152" s="546"/>
      <c r="C152" s="546"/>
      <c r="D152" s="546"/>
      <c r="E152" s="546"/>
      <c r="F152" s="546"/>
    </row>
    <row r="153" spans="2:6" ht="15.75" customHeight="1">
      <c r="B153" s="546"/>
      <c r="C153" s="546"/>
      <c r="D153" s="546"/>
      <c r="E153" s="546"/>
      <c r="F153" s="546"/>
    </row>
    <row r="154" spans="2:6" ht="15.75" customHeight="1">
      <c r="B154" s="546"/>
      <c r="C154" s="546"/>
      <c r="D154" s="546"/>
      <c r="E154" s="546"/>
      <c r="F154" s="546"/>
    </row>
    <row r="155" spans="2:6" ht="15.75" customHeight="1">
      <c r="B155" s="546"/>
      <c r="C155" s="546"/>
      <c r="D155" s="546"/>
      <c r="E155" s="546"/>
      <c r="F155" s="546"/>
    </row>
    <row r="156" spans="2:6" ht="15.75" customHeight="1">
      <c r="B156" s="546"/>
      <c r="C156" s="546"/>
      <c r="D156" s="546"/>
      <c r="E156" s="546"/>
      <c r="F156" s="546"/>
    </row>
    <row r="157" spans="2:6" ht="15.75" customHeight="1">
      <c r="B157" s="546"/>
      <c r="C157" s="546"/>
      <c r="D157" s="546"/>
      <c r="E157" s="546"/>
      <c r="F157" s="546"/>
    </row>
    <row r="158" spans="2:6" ht="15.75" customHeight="1">
      <c r="B158" s="546"/>
      <c r="C158" s="546"/>
      <c r="D158" s="546"/>
      <c r="E158" s="546"/>
      <c r="F158" s="546"/>
    </row>
    <row r="159" spans="2:6" ht="15.75" customHeight="1">
      <c r="B159" s="546"/>
      <c r="C159" s="546"/>
      <c r="D159" s="546"/>
      <c r="E159" s="546"/>
      <c r="F159" s="546"/>
    </row>
    <row r="160" spans="2:6" ht="15.75" customHeight="1">
      <c r="B160" s="546"/>
      <c r="C160" s="546"/>
      <c r="D160" s="546"/>
      <c r="E160" s="546"/>
      <c r="F160" s="546"/>
    </row>
    <row r="161" spans="2:6" ht="15.75" customHeight="1">
      <c r="B161" s="546"/>
      <c r="C161" s="546"/>
      <c r="D161" s="546"/>
      <c r="E161" s="546"/>
      <c r="F161" s="546"/>
    </row>
    <row r="162" spans="2:6" ht="15.75" customHeight="1">
      <c r="B162" s="546"/>
      <c r="C162" s="546"/>
      <c r="D162" s="546"/>
      <c r="E162" s="546"/>
      <c r="F162" s="546"/>
    </row>
    <row r="163" spans="2:6" ht="15.75" customHeight="1">
      <c r="B163" s="546"/>
      <c r="C163" s="546"/>
      <c r="D163" s="546"/>
      <c r="E163" s="546"/>
      <c r="F163" s="546"/>
    </row>
    <row r="164" spans="2:6" ht="15.75" customHeight="1">
      <c r="B164" s="546"/>
      <c r="C164" s="546"/>
      <c r="D164" s="546"/>
      <c r="E164" s="546"/>
      <c r="F164" s="546"/>
    </row>
    <row r="165" spans="2:6" ht="15.75" customHeight="1">
      <c r="B165" s="546"/>
      <c r="C165" s="546"/>
      <c r="D165" s="546"/>
      <c r="E165" s="546"/>
      <c r="F165" s="546"/>
    </row>
    <row r="166" spans="2:6" ht="15.75" customHeight="1">
      <c r="B166" s="546"/>
      <c r="C166" s="546"/>
      <c r="D166" s="546"/>
      <c r="E166" s="546"/>
      <c r="F166" s="546"/>
    </row>
    <row r="167" spans="2:6" ht="15.75" customHeight="1">
      <c r="B167" s="546"/>
      <c r="C167" s="546"/>
      <c r="D167" s="546"/>
      <c r="E167" s="546"/>
      <c r="F167" s="546"/>
    </row>
    <row r="168" spans="2:6" ht="15.75" customHeight="1">
      <c r="B168" s="546"/>
      <c r="C168" s="546"/>
      <c r="D168" s="546"/>
      <c r="E168" s="546"/>
      <c r="F168" s="546"/>
    </row>
    <row r="169" spans="2:6" ht="15.75" customHeight="1">
      <c r="B169" s="546"/>
      <c r="C169" s="546"/>
      <c r="D169" s="546"/>
      <c r="E169" s="546"/>
      <c r="F169" s="546"/>
    </row>
    <row r="170" spans="2:6" ht="15.75" customHeight="1">
      <c r="B170" s="546"/>
      <c r="C170" s="546"/>
      <c r="D170" s="546"/>
      <c r="E170" s="546"/>
      <c r="F170" s="546"/>
    </row>
    <row r="171" spans="2:6" ht="15.75" customHeight="1">
      <c r="B171" s="546"/>
      <c r="C171" s="546"/>
      <c r="D171" s="546"/>
      <c r="E171" s="546"/>
      <c r="F171" s="546"/>
    </row>
    <row r="172" spans="2:6" ht="15.75" customHeight="1">
      <c r="B172" s="546"/>
      <c r="C172" s="546"/>
      <c r="D172" s="546"/>
      <c r="E172" s="546"/>
      <c r="F172" s="546"/>
    </row>
    <row r="173" spans="2:6" ht="15.75" customHeight="1">
      <c r="B173" s="546"/>
      <c r="C173" s="546"/>
      <c r="D173" s="546"/>
      <c r="E173" s="546"/>
      <c r="F173" s="546"/>
    </row>
    <row r="174" spans="2:6" ht="15.75" customHeight="1">
      <c r="B174" s="546"/>
      <c r="C174" s="546"/>
      <c r="D174" s="546"/>
      <c r="E174" s="546"/>
      <c r="F174" s="546"/>
    </row>
    <row r="175" spans="2:6" ht="15.75" customHeight="1">
      <c r="B175" s="546"/>
      <c r="C175" s="546"/>
      <c r="D175" s="546"/>
      <c r="E175" s="546"/>
      <c r="F175" s="546"/>
    </row>
    <row r="176" spans="2:6" ht="15.75" customHeight="1">
      <c r="B176" s="546"/>
      <c r="C176" s="546"/>
      <c r="D176" s="546"/>
      <c r="E176" s="546"/>
      <c r="F176" s="546"/>
    </row>
    <row r="177" spans="2:6" ht="15.75" customHeight="1">
      <c r="B177" s="546"/>
      <c r="C177" s="546"/>
      <c r="D177" s="546"/>
      <c r="E177" s="546"/>
      <c r="F177" s="546"/>
    </row>
    <row r="178" spans="2:6" ht="15.75" customHeight="1">
      <c r="B178" s="546"/>
      <c r="C178" s="546"/>
      <c r="D178" s="546"/>
      <c r="E178" s="546"/>
      <c r="F178" s="546"/>
    </row>
    <row r="179" spans="2:6" ht="15.75" customHeight="1">
      <c r="B179" s="546"/>
      <c r="C179" s="546"/>
      <c r="D179" s="546"/>
      <c r="E179" s="546"/>
      <c r="F179" s="546"/>
    </row>
    <row r="180" spans="2:6" ht="15.75" customHeight="1">
      <c r="B180" s="546"/>
      <c r="C180" s="546"/>
      <c r="D180" s="546"/>
      <c r="E180" s="546"/>
      <c r="F180" s="546"/>
    </row>
    <row r="181" spans="2:6" ht="15.75" customHeight="1">
      <c r="B181" s="546"/>
      <c r="C181" s="546"/>
      <c r="D181" s="546"/>
      <c r="E181" s="546"/>
      <c r="F181" s="546"/>
    </row>
    <row r="182" spans="2:6" ht="15.75" customHeight="1">
      <c r="B182" s="546"/>
      <c r="C182" s="546"/>
      <c r="D182" s="546"/>
      <c r="E182" s="546"/>
      <c r="F182" s="546"/>
    </row>
    <row r="183" spans="2:6" ht="15.75" customHeight="1">
      <c r="B183" s="546"/>
      <c r="C183" s="546"/>
      <c r="D183" s="546"/>
      <c r="E183" s="546"/>
      <c r="F183" s="546"/>
    </row>
    <row r="184" spans="2:6" ht="15.75" customHeight="1">
      <c r="B184" s="546"/>
      <c r="C184" s="546"/>
      <c r="D184" s="546"/>
      <c r="E184" s="546"/>
      <c r="F184" s="546"/>
    </row>
    <row r="185" spans="2:6" ht="15.75" customHeight="1">
      <c r="B185" s="546"/>
      <c r="C185" s="546"/>
      <c r="D185" s="546"/>
      <c r="E185" s="546"/>
      <c r="F185" s="546"/>
    </row>
    <row r="186" spans="2:6" ht="15.75" customHeight="1">
      <c r="B186" s="546"/>
      <c r="C186" s="546"/>
      <c r="D186" s="546"/>
      <c r="E186" s="546"/>
      <c r="F186" s="546"/>
    </row>
    <row r="187" spans="2:6" ht="15.75" customHeight="1">
      <c r="B187" s="546"/>
      <c r="C187" s="546"/>
      <c r="D187" s="546"/>
      <c r="E187" s="546"/>
      <c r="F187" s="546"/>
    </row>
    <row r="188" spans="2:6" ht="15.75" customHeight="1">
      <c r="B188" s="546"/>
      <c r="C188" s="546"/>
      <c r="D188" s="546"/>
      <c r="E188" s="546"/>
      <c r="F188" s="546"/>
    </row>
    <row r="189" spans="2:6" ht="15.75" customHeight="1">
      <c r="B189" s="546"/>
      <c r="C189" s="546"/>
      <c r="D189" s="546"/>
      <c r="E189" s="546"/>
      <c r="F189" s="546"/>
    </row>
    <row r="190" spans="2:6" ht="15.75" customHeight="1">
      <c r="B190" s="546"/>
      <c r="C190" s="546"/>
      <c r="D190" s="546"/>
      <c r="E190" s="546"/>
      <c r="F190" s="546"/>
    </row>
    <row r="191" spans="2:6" ht="15.75" customHeight="1">
      <c r="B191" s="546"/>
      <c r="C191" s="546"/>
      <c r="D191" s="546"/>
      <c r="E191" s="546"/>
      <c r="F191" s="546"/>
    </row>
    <row r="192" spans="2:6" ht="15.75" customHeight="1">
      <c r="B192" s="546"/>
      <c r="C192" s="546"/>
      <c r="D192" s="546"/>
      <c r="E192" s="546"/>
      <c r="F192" s="546"/>
    </row>
    <row r="193" spans="2:6" ht="15.75" customHeight="1">
      <c r="B193" s="546"/>
      <c r="C193" s="546"/>
      <c r="D193" s="546"/>
      <c r="E193" s="546"/>
      <c r="F193" s="546"/>
    </row>
    <row r="194" spans="2:6" ht="15.75" customHeight="1">
      <c r="B194" s="546"/>
      <c r="C194" s="546"/>
      <c r="D194" s="546"/>
      <c r="E194" s="546"/>
      <c r="F194" s="546"/>
    </row>
    <row r="195" spans="2:6" ht="15.75" customHeight="1">
      <c r="B195" s="546"/>
      <c r="C195" s="546"/>
      <c r="D195" s="546"/>
      <c r="E195" s="546"/>
      <c r="F195" s="546"/>
    </row>
    <row r="196" spans="2:6" ht="15.75" customHeight="1">
      <c r="B196" s="546"/>
      <c r="C196" s="546"/>
      <c r="D196" s="546"/>
      <c r="E196" s="546"/>
      <c r="F196" s="546"/>
    </row>
    <row r="197" spans="2:6" ht="15.75" customHeight="1">
      <c r="B197" s="546"/>
      <c r="C197" s="546"/>
      <c r="D197" s="546"/>
      <c r="E197" s="546"/>
      <c r="F197" s="546"/>
    </row>
    <row r="198" spans="2:6" ht="15.75" customHeight="1">
      <c r="B198" s="546"/>
      <c r="C198" s="546"/>
      <c r="D198" s="546"/>
      <c r="E198" s="546"/>
      <c r="F198" s="546"/>
    </row>
    <row r="199" spans="2:6" ht="15.75" customHeight="1">
      <c r="B199" s="546"/>
      <c r="C199" s="546"/>
      <c r="D199" s="546"/>
      <c r="E199" s="546"/>
      <c r="F199" s="546"/>
    </row>
    <row r="200" spans="2:6" ht="15.75" customHeight="1">
      <c r="B200" s="546"/>
      <c r="C200" s="546"/>
      <c r="D200" s="546"/>
      <c r="E200" s="546"/>
      <c r="F200" s="546"/>
    </row>
    <row r="201" spans="2:6" ht="15.75" customHeight="1">
      <c r="B201" s="546"/>
      <c r="C201" s="546"/>
      <c r="D201" s="546"/>
      <c r="E201" s="546"/>
      <c r="F201" s="546"/>
    </row>
    <row r="202" spans="2:6" ht="15.75" customHeight="1">
      <c r="B202" s="546"/>
      <c r="C202" s="546"/>
      <c r="D202" s="546"/>
      <c r="E202" s="546"/>
      <c r="F202" s="546"/>
    </row>
    <row r="203" spans="2:6" ht="15.75" customHeight="1">
      <c r="B203" s="546"/>
      <c r="C203" s="546"/>
      <c r="D203" s="546"/>
      <c r="E203" s="546"/>
      <c r="F203" s="546"/>
    </row>
    <row r="204" spans="2:6" ht="15.75" customHeight="1">
      <c r="B204" s="546"/>
      <c r="C204" s="546"/>
      <c r="D204" s="546"/>
      <c r="E204" s="546"/>
      <c r="F204" s="546"/>
    </row>
    <row r="205" spans="2:6" ht="15.75" customHeight="1">
      <c r="B205" s="546"/>
      <c r="C205" s="546"/>
      <c r="D205" s="546"/>
      <c r="E205" s="546"/>
      <c r="F205" s="546"/>
    </row>
    <row r="206" spans="2:6" ht="15.75" customHeight="1">
      <c r="B206" s="546"/>
      <c r="C206" s="546"/>
      <c r="D206" s="546"/>
      <c r="E206" s="546"/>
      <c r="F206" s="546"/>
    </row>
    <row r="207" spans="2:6" ht="15.75" customHeight="1">
      <c r="B207" s="546"/>
      <c r="C207" s="546"/>
      <c r="D207" s="546"/>
      <c r="E207" s="546"/>
      <c r="F207" s="546"/>
    </row>
    <row r="208" spans="2:6" ht="15.75" customHeight="1">
      <c r="B208" s="546"/>
      <c r="C208" s="546"/>
      <c r="D208" s="546"/>
      <c r="E208" s="546"/>
      <c r="F208" s="546"/>
    </row>
    <row r="209" spans="2:6" ht="15.75" customHeight="1">
      <c r="B209" s="546"/>
      <c r="C209" s="546"/>
      <c r="D209" s="546"/>
      <c r="E209" s="546"/>
      <c r="F209" s="546"/>
    </row>
    <row r="210" spans="2:6" ht="15.75" customHeight="1">
      <c r="B210" s="546"/>
      <c r="C210" s="546"/>
      <c r="D210" s="546"/>
      <c r="E210" s="546"/>
      <c r="F210" s="546"/>
    </row>
    <row r="211" spans="2:6" ht="15.75" customHeight="1">
      <c r="B211" s="546"/>
      <c r="C211" s="546"/>
      <c r="D211" s="546"/>
      <c r="E211" s="546"/>
      <c r="F211" s="546"/>
    </row>
    <row r="212" spans="2:6" ht="15.75" customHeight="1">
      <c r="B212" s="546"/>
      <c r="C212" s="546"/>
      <c r="D212" s="546"/>
      <c r="E212" s="546"/>
      <c r="F212" s="546"/>
    </row>
    <row r="213" spans="2:6" ht="15.75" customHeight="1">
      <c r="B213" s="546"/>
      <c r="C213" s="546"/>
      <c r="D213" s="546"/>
      <c r="E213" s="546"/>
      <c r="F213" s="546"/>
    </row>
    <row r="214" spans="2:6" ht="15.75" customHeight="1">
      <c r="B214" s="546"/>
      <c r="C214" s="546"/>
      <c r="D214" s="546"/>
      <c r="E214" s="546"/>
      <c r="F214" s="546"/>
    </row>
    <row r="215" spans="2:6" ht="15.75" customHeight="1">
      <c r="B215" s="546"/>
      <c r="C215" s="546"/>
      <c r="D215" s="546"/>
      <c r="E215" s="546"/>
      <c r="F215" s="546"/>
    </row>
    <row r="216" spans="2:6" ht="15.75" customHeight="1">
      <c r="B216" s="546"/>
      <c r="C216" s="546"/>
      <c r="D216" s="546"/>
      <c r="E216" s="546"/>
      <c r="F216" s="546"/>
    </row>
    <row r="217" spans="2:6" ht="15.75" customHeight="1">
      <c r="B217" s="546"/>
      <c r="C217" s="546"/>
      <c r="D217" s="546"/>
      <c r="E217" s="546"/>
      <c r="F217" s="546"/>
    </row>
    <row r="218" spans="2:6" ht="15.75" customHeight="1">
      <c r="B218" s="546"/>
      <c r="C218" s="546"/>
      <c r="D218" s="546"/>
      <c r="E218" s="546"/>
      <c r="F218" s="546"/>
    </row>
    <row r="219" spans="2:6" ht="15.75" customHeight="1">
      <c r="B219" s="546"/>
      <c r="C219" s="546"/>
      <c r="D219" s="546"/>
      <c r="E219" s="546"/>
      <c r="F219" s="546"/>
    </row>
    <row r="220" spans="2:6" ht="15.75" customHeight="1">
      <c r="B220" s="546"/>
      <c r="C220" s="546"/>
      <c r="D220" s="546"/>
      <c r="E220" s="546"/>
      <c r="F220" s="546"/>
    </row>
    <row r="221" spans="2:6" ht="15.75" customHeight="1">
      <c r="B221" s="546"/>
      <c r="C221" s="546"/>
      <c r="D221" s="546"/>
      <c r="E221" s="546"/>
      <c r="F221" s="546"/>
    </row>
    <row r="222" spans="2:6" ht="15.75" customHeight="1">
      <c r="B222" s="546"/>
      <c r="C222" s="546"/>
      <c r="D222" s="546"/>
      <c r="E222" s="546"/>
      <c r="F222" s="546"/>
    </row>
    <row r="223" spans="2:6" ht="15.75" customHeight="1">
      <c r="B223" s="546"/>
      <c r="C223" s="546"/>
      <c r="D223" s="546"/>
      <c r="E223" s="546"/>
      <c r="F223" s="546"/>
    </row>
    <row r="224" spans="2:6" ht="15.75" customHeight="1">
      <c r="B224" s="546"/>
      <c r="C224" s="546"/>
      <c r="D224" s="546"/>
      <c r="E224" s="546"/>
      <c r="F224" s="546"/>
    </row>
    <row r="225" spans="2:6" ht="15.75" customHeight="1">
      <c r="B225" s="546"/>
      <c r="C225" s="546"/>
      <c r="D225" s="546"/>
      <c r="E225" s="546"/>
      <c r="F225" s="546"/>
    </row>
    <row r="226" spans="2:6" ht="15.75" customHeight="1">
      <c r="B226" s="546"/>
      <c r="C226" s="546"/>
      <c r="D226" s="546"/>
      <c r="E226" s="546"/>
      <c r="F226" s="546"/>
    </row>
    <row r="227" spans="2:6" ht="15.75" customHeight="1">
      <c r="B227" s="546"/>
      <c r="C227" s="546"/>
      <c r="D227" s="546"/>
      <c r="E227" s="546"/>
      <c r="F227" s="546"/>
    </row>
    <row r="228" spans="2:6" ht="15.75" customHeight="1">
      <c r="B228" s="546"/>
      <c r="C228" s="546"/>
      <c r="D228" s="546"/>
      <c r="E228" s="546"/>
      <c r="F228" s="546"/>
    </row>
    <row r="229" spans="2:6" ht="15.75" customHeight="1">
      <c r="B229" s="546"/>
      <c r="C229" s="546"/>
      <c r="D229" s="546"/>
      <c r="E229" s="546"/>
      <c r="F229" s="546"/>
    </row>
    <row r="230" spans="2:6" ht="15.75" customHeight="1">
      <c r="B230" s="546"/>
      <c r="C230" s="546"/>
      <c r="D230" s="546"/>
      <c r="E230" s="546"/>
      <c r="F230" s="546"/>
    </row>
    <row r="231" spans="2:6" ht="15.75" customHeight="1">
      <c r="B231" s="546"/>
      <c r="C231" s="546"/>
      <c r="D231" s="546"/>
      <c r="E231" s="546"/>
      <c r="F231" s="546"/>
    </row>
    <row r="232" spans="2:6" ht="15.75" customHeight="1">
      <c r="B232" s="546"/>
      <c r="C232" s="546"/>
      <c r="D232" s="546"/>
      <c r="E232" s="546"/>
      <c r="F232" s="546"/>
    </row>
    <row r="233" spans="2:6" ht="15.75" customHeight="1">
      <c r="B233" s="546"/>
      <c r="C233" s="546"/>
      <c r="D233" s="546"/>
      <c r="E233" s="546"/>
      <c r="F233" s="546"/>
    </row>
    <row r="234" spans="2:6" ht="15.75" customHeight="1">
      <c r="B234" s="546"/>
      <c r="C234" s="546"/>
      <c r="D234" s="546"/>
      <c r="E234" s="546"/>
      <c r="F234" s="546"/>
    </row>
    <row r="235" spans="2:6" ht="15.75" customHeight="1">
      <c r="B235" s="546"/>
      <c r="C235" s="546"/>
      <c r="D235" s="546"/>
      <c r="E235" s="546"/>
      <c r="F235" s="546"/>
    </row>
    <row r="236" spans="2:6" ht="15.75" customHeight="1">
      <c r="B236" s="546"/>
      <c r="C236" s="546"/>
      <c r="D236" s="546"/>
      <c r="E236" s="546"/>
      <c r="F236" s="546"/>
    </row>
    <row r="237" spans="2:6" ht="15.75" customHeight="1">
      <c r="B237" s="546"/>
      <c r="C237" s="546"/>
      <c r="D237" s="546"/>
      <c r="E237" s="546"/>
      <c r="F237" s="546"/>
    </row>
    <row r="238" spans="2:6" ht="15.75" customHeight="1">
      <c r="B238" s="546"/>
      <c r="C238" s="546"/>
      <c r="D238" s="546"/>
      <c r="E238" s="546"/>
      <c r="F238" s="546"/>
    </row>
    <row r="239" spans="2:6" ht="15.75" customHeight="1">
      <c r="B239" s="546"/>
      <c r="C239" s="546"/>
      <c r="D239" s="546"/>
      <c r="E239" s="546"/>
      <c r="F239" s="546"/>
    </row>
    <row r="240" spans="2:6" ht="15.75" customHeight="1">
      <c r="B240" s="546"/>
      <c r="C240" s="546"/>
      <c r="D240" s="546"/>
      <c r="E240" s="546"/>
      <c r="F240" s="546"/>
    </row>
    <row r="241" spans="2:6" ht="15.75" customHeight="1">
      <c r="B241" s="546"/>
      <c r="C241" s="546"/>
      <c r="D241" s="546"/>
      <c r="E241" s="546"/>
      <c r="F241" s="546"/>
    </row>
    <row r="242" spans="2:6" ht="15.75" customHeight="1">
      <c r="B242" s="546"/>
      <c r="C242" s="546"/>
      <c r="D242" s="546"/>
      <c r="E242" s="546"/>
      <c r="F242" s="546"/>
    </row>
    <row r="243" spans="2:6" ht="15.75" customHeight="1">
      <c r="B243" s="546"/>
      <c r="C243" s="546"/>
      <c r="D243" s="546"/>
      <c r="E243" s="546"/>
      <c r="F243" s="546"/>
    </row>
    <row r="244" spans="2:6" ht="15.75" customHeight="1">
      <c r="B244" s="546"/>
      <c r="C244" s="546"/>
      <c r="D244" s="546"/>
      <c r="E244" s="546"/>
      <c r="F244" s="546"/>
    </row>
    <row r="245" spans="2:6" ht="15.75" customHeight="1">
      <c r="B245" s="546"/>
      <c r="C245" s="546"/>
      <c r="D245" s="546"/>
      <c r="E245" s="546"/>
      <c r="F245" s="546"/>
    </row>
    <row r="246" spans="2:6" ht="15.75" customHeight="1">
      <c r="B246" s="546"/>
      <c r="C246" s="546"/>
      <c r="D246" s="546"/>
      <c r="E246" s="546"/>
      <c r="F246" s="546"/>
    </row>
    <row r="247" spans="2:6" ht="15.75" customHeight="1">
      <c r="B247" s="546"/>
      <c r="C247" s="546"/>
      <c r="D247" s="546"/>
      <c r="E247" s="546"/>
      <c r="F247" s="546"/>
    </row>
    <row r="248" spans="2:6" ht="15.75" customHeight="1">
      <c r="B248" s="546"/>
      <c r="C248" s="546"/>
      <c r="D248" s="546"/>
      <c r="E248" s="546"/>
      <c r="F248" s="546"/>
    </row>
    <row r="249" spans="2:6" ht="15.75" customHeight="1">
      <c r="B249" s="546"/>
      <c r="C249" s="546"/>
      <c r="D249" s="546"/>
      <c r="E249" s="546"/>
      <c r="F249" s="546"/>
    </row>
    <row r="250" spans="2:6" ht="15.75" customHeight="1">
      <c r="B250" s="546"/>
      <c r="C250" s="546"/>
      <c r="D250" s="546"/>
      <c r="E250" s="546"/>
      <c r="F250" s="546"/>
    </row>
    <row r="251" spans="2:6" ht="15.75" customHeight="1">
      <c r="B251" s="546"/>
      <c r="C251" s="546"/>
      <c r="D251" s="546"/>
      <c r="E251" s="546"/>
      <c r="F251" s="546"/>
    </row>
    <row r="252" spans="2:6" ht="15.75" customHeight="1">
      <c r="B252" s="546"/>
      <c r="C252" s="546"/>
      <c r="D252" s="546"/>
      <c r="E252" s="546"/>
      <c r="F252" s="546"/>
    </row>
    <row r="253" spans="2:6" ht="15.75" customHeight="1">
      <c r="B253" s="546"/>
      <c r="C253" s="546"/>
      <c r="D253" s="546"/>
      <c r="E253" s="546"/>
      <c r="F253" s="546"/>
    </row>
    <row r="254" spans="2:6" ht="15.75" customHeight="1">
      <c r="B254" s="546"/>
      <c r="C254" s="546"/>
      <c r="D254" s="546"/>
      <c r="E254" s="546"/>
      <c r="F254" s="546"/>
    </row>
    <row r="255" spans="2:6" ht="15.75" customHeight="1">
      <c r="B255" s="546"/>
      <c r="C255" s="546"/>
      <c r="D255" s="546"/>
      <c r="E255" s="546"/>
      <c r="F255" s="546"/>
    </row>
    <row r="256" spans="2:6" ht="15.75" customHeight="1">
      <c r="B256" s="546"/>
      <c r="C256" s="546"/>
      <c r="D256" s="546"/>
      <c r="E256" s="546"/>
      <c r="F256" s="546"/>
    </row>
    <row r="257" spans="2:6" ht="15.75" customHeight="1">
      <c r="B257" s="546"/>
      <c r="C257" s="546"/>
      <c r="D257" s="546"/>
      <c r="E257" s="546"/>
      <c r="F257" s="546"/>
    </row>
    <row r="258" spans="2:6" ht="15.75" customHeight="1">
      <c r="B258" s="546"/>
      <c r="C258" s="546"/>
      <c r="D258" s="546"/>
      <c r="E258" s="546"/>
      <c r="F258" s="546"/>
    </row>
    <row r="259" spans="2:6" ht="15.75" customHeight="1">
      <c r="B259" s="546"/>
      <c r="C259" s="546"/>
      <c r="D259" s="546"/>
      <c r="E259" s="546"/>
      <c r="F259" s="546"/>
    </row>
    <row r="260" spans="2:6" ht="15.75" customHeight="1">
      <c r="B260" s="546"/>
      <c r="C260" s="546"/>
      <c r="D260" s="546"/>
      <c r="E260" s="546"/>
      <c r="F260" s="546"/>
    </row>
    <row r="261" spans="2:6" ht="15.75" customHeight="1">
      <c r="B261" s="546"/>
      <c r="C261" s="546"/>
      <c r="D261" s="546"/>
      <c r="E261" s="546"/>
      <c r="F261" s="546"/>
    </row>
    <row r="262" spans="2:6" ht="15.75" customHeight="1">
      <c r="B262" s="546"/>
      <c r="C262" s="546"/>
      <c r="D262" s="546"/>
      <c r="E262" s="546"/>
      <c r="F262" s="546"/>
    </row>
    <row r="263" spans="2:6" ht="15.75" customHeight="1">
      <c r="B263" s="546"/>
      <c r="C263" s="546"/>
      <c r="D263" s="546"/>
      <c r="E263" s="546"/>
      <c r="F263" s="546"/>
    </row>
    <row r="264" spans="2:6" ht="15.75" customHeight="1">
      <c r="B264" s="546"/>
      <c r="C264" s="546"/>
      <c r="D264" s="546"/>
      <c r="E264" s="546"/>
      <c r="F264" s="546"/>
    </row>
    <row r="265" spans="2:6" ht="15.75" customHeight="1">
      <c r="B265" s="546"/>
      <c r="C265" s="546"/>
      <c r="D265" s="546"/>
      <c r="E265" s="546"/>
      <c r="F265" s="546"/>
    </row>
    <row r="266" spans="2:6" ht="15.75" customHeight="1">
      <c r="B266" s="546"/>
      <c r="C266" s="546"/>
      <c r="D266" s="546"/>
      <c r="E266" s="546"/>
      <c r="F266" s="546"/>
    </row>
    <row r="267" spans="2:6" ht="15.75" customHeight="1">
      <c r="B267" s="546"/>
      <c r="C267" s="546"/>
      <c r="D267" s="546"/>
      <c r="E267" s="546"/>
      <c r="F267" s="546"/>
    </row>
    <row r="268" spans="2:6" ht="15.75" customHeight="1">
      <c r="B268" s="546"/>
      <c r="C268" s="546"/>
      <c r="D268" s="546"/>
      <c r="E268" s="546"/>
      <c r="F268" s="546"/>
    </row>
    <row r="269" spans="2:6" ht="15.75" customHeight="1">
      <c r="B269" s="546"/>
      <c r="C269" s="546"/>
      <c r="D269" s="546"/>
      <c r="E269" s="546"/>
      <c r="F269" s="546"/>
    </row>
    <row r="270" spans="2:6" ht="15.75" customHeight="1">
      <c r="B270" s="546"/>
      <c r="C270" s="546"/>
      <c r="D270" s="546"/>
      <c r="E270" s="546"/>
      <c r="F270" s="546"/>
    </row>
    <row r="271" spans="2:6" ht="15.75" customHeight="1">
      <c r="B271" s="546"/>
      <c r="C271" s="546"/>
      <c r="D271" s="546"/>
      <c r="E271" s="546"/>
      <c r="F271" s="546"/>
    </row>
    <row r="272" spans="2:6" ht="15.75" customHeight="1">
      <c r="B272" s="546"/>
      <c r="C272" s="546"/>
      <c r="D272" s="546"/>
      <c r="E272" s="546"/>
      <c r="F272" s="546"/>
    </row>
    <row r="273" spans="2:6" ht="15.75" customHeight="1">
      <c r="B273" s="546"/>
      <c r="C273" s="546"/>
      <c r="D273" s="546"/>
      <c r="E273" s="546"/>
      <c r="F273" s="546"/>
    </row>
    <row r="274" spans="2:6" ht="15.75" customHeight="1">
      <c r="B274" s="546"/>
      <c r="C274" s="546"/>
      <c r="D274" s="546"/>
      <c r="E274" s="546"/>
      <c r="F274" s="546"/>
    </row>
    <row r="275" spans="2:6" ht="15.75" customHeight="1">
      <c r="B275" s="546"/>
      <c r="C275" s="546"/>
      <c r="D275" s="546"/>
      <c r="E275" s="546"/>
      <c r="F275" s="546"/>
    </row>
    <row r="276" spans="2:6" ht="15.75" customHeight="1">
      <c r="B276" s="546"/>
      <c r="C276" s="546"/>
      <c r="D276" s="546"/>
      <c r="E276" s="546"/>
      <c r="F276" s="546"/>
    </row>
    <row r="277" spans="2:6" ht="15.75" customHeight="1">
      <c r="B277" s="546"/>
      <c r="C277" s="546"/>
      <c r="D277" s="546"/>
      <c r="E277" s="546"/>
      <c r="F277" s="546"/>
    </row>
    <row r="278" spans="2:6" ht="15.75" customHeight="1">
      <c r="B278" s="546"/>
      <c r="C278" s="546"/>
      <c r="D278" s="546"/>
      <c r="E278" s="546"/>
      <c r="F278" s="546"/>
    </row>
    <row r="279" spans="2:6" ht="15.75" customHeight="1">
      <c r="B279" s="546"/>
      <c r="C279" s="546"/>
      <c r="D279" s="546"/>
      <c r="E279" s="546"/>
      <c r="F279" s="546"/>
    </row>
    <row r="280" spans="2:6" ht="15.75" customHeight="1">
      <c r="B280" s="546"/>
      <c r="C280" s="546"/>
      <c r="D280" s="546"/>
      <c r="E280" s="546"/>
      <c r="F280" s="546"/>
    </row>
    <row r="281" spans="2:6" ht="15.75" customHeight="1">
      <c r="B281" s="546"/>
      <c r="C281" s="546"/>
      <c r="D281" s="546"/>
      <c r="E281" s="546"/>
      <c r="F281" s="546"/>
    </row>
    <row r="282" spans="2:6" ht="15.75" customHeight="1">
      <c r="B282" s="546"/>
      <c r="C282" s="546"/>
      <c r="D282" s="546"/>
      <c r="E282" s="546"/>
      <c r="F282" s="546"/>
    </row>
    <row r="283" spans="2:6" ht="15.75" customHeight="1">
      <c r="B283" s="546"/>
      <c r="C283" s="546"/>
      <c r="D283" s="546"/>
      <c r="E283" s="546"/>
      <c r="F283" s="546"/>
    </row>
    <row r="284" spans="2:6" ht="15.75" customHeight="1">
      <c r="B284" s="546"/>
      <c r="C284" s="546"/>
      <c r="D284" s="546"/>
      <c r="E284" s="546"/>
      <c r="F284" s="546"/>
    </row>
    <row r="285" spans="2:6" ht="15.75" customHeight="1">
      <c r="B285" s="546"/>
      <c r="C285" s="546"/>
      <c r="D285" s="546"/>
      <c r="E285" s="546"/>
      <c r="F285" s="546"/>
    </row>
    <row r="286" spans="2:6" ht="15.75" customHeight="1">
      <c r="B286" s="546"/>
      <c r="C286" s="546"/>
      <c r="D286" s="546"/>
      <c r="E286" s="546"/>
      <c r="F286" s="546"/>
    </row>
    <row r="287" spans="2:6" ht="15.75" customHeight="1">
      <c r="B287" s="546"/>
      <c r="C287" s="546"/>
      <c r="D287" s="546"/>
      <c r="E287" s="546"/>
      <c r="F287" s="546"/>
    </row>
    <row r="288" spans="2:6" ht="15.75" customHeight="1">
      <c r="B288" s="546"/>
      <c r="C288" s="546"/>
      <c r="D288" s="546"/>
      <c r="E288" s="546"/>
      <c r="F288" s="546"/>
    </row>
    <row r="289" spans="2:6" ht="15.75" customHeight="1">
      <c r="B289" s="546"/>
      <c r="C289" s="546"/>
      <c r="D289" s="546"/>
      <c r="E289" s="546"/>
      <c r="F289" s="546"/>
    </row>
    <row r="290" spans="2:6" ht="15.75" customHeight="1">
      <c r="B290" s="546"/>
      <c r="C290" s="546"/>
      <c r="D290" s="546"/>
      <c r="E290" s="546"/>
      <c r="F290" s="546"/>
    </row>
    <row r="291" spans="2:6" ht="15.75" customHeight="1">
      <c r="B291" s="546"/>
      <c r="C291" s="546"/>
      <c r="D291" s="546"/>
      <c r="E291" s="546"/>
      <c r="F291" s="546"/>
    </row>
    <row r="292" spans="2:6" ht="15.75" customHeight="1">
      <c r="B292" s="546"/>
      <c r="C292" s="546"/>
      <c r="D292" s="546"/>
      <c r="E292" s="546"/>
      <c r="F292" s="546"/>
    </row>
    <row r="293" spans="2:6" ht="15.75" customHeight="1">
      <c r="B293" s="546"/>
      <c r="C293" s="546"/>
      <c r="D293" s="546"/>
      <c r="E293" s="546"/>
      <c r="F293" s="546"/>
    </row>
    <row r="294" spans="2:6" ht="15.75" customHeight="1">
      <c r="B294" s="546"/>
      <c r="C294" s="546"/>
      <c r="D294" s="546"/>
      <c r="E294" s="546"/>
      <c r="F294" s="546"/>
    </row>
    <row r="295" spans="2:6" ht="15.75" customHeight="1">
      <c r="B295" s="546"/>
      <c r="C295" s="546"/>
      <c r="D295" s="546"/>
      <c r="E295" s="546"/>
      <c r="F295" s="546"/>
    </row>
    <row r="296" spans="2:6" ht="15.75" customHeight="1">
      <c r="B296" s="546"/>
      <c r="C296" s="546"/>
      <c r="D296" s="546"/>
      <c r="E296" s="546"/>
      <c r="F296" s="546"/>
    </row>
    <row r="297" spans="2:6" ht="15.75" customHeight="1">
      <c r="B297" s="546"/>
      <c r="C297" s="546"/>
      <c r="D297" s="546"/>
      <c r="E297" s="546"/>
      <c r="F297" s="546"/>
    </row>
    <row r="298" spans="2:6" ht="15.75" customHeight="1">
      <c r="B298" s="546"/>
      <c r="C298" s="546"/>
      <c r="D298" s="546"/>
      <c r="E298" s="546"/>
      <c r="F298" s="546"/>
    </row>
    <row r="299" spans="2:6" ht="15.75" customHeight="1">
      <c r="B299" s="546"/>
      <c r="C299" s="546"/>
      <c r="D299" s="546"/>
      <c r="E299" s="546"/>
      <c r="F299" s="546"/>
    </row>
    <row r="300" spans="2:6" ht="15.75" customHeight="1">
      <c r="B300" s="546"/>
      <c r="C300" s="546"/>
      <c r="D300" s="546"/>
      <c r="E300" s="546"/>
      <c r="F300" s="546"/>
    </row>
    <row r="301" spans="2:6" ht="15.75" customHeight="1">
      <c r="B301" s="546"/>
      <c r="C301" s="546"/>
      <c r="D301" s="546"/>
      <c r="E301" s="546"/>
      <c r="F301" s="546"/>
    </row>
    <row r="302" spans="2:6" ht="15.75" customHeight="1">
      <c r="B302" s="546"/>
      <c r="C302" s="546"/>
      <c r="D302" s="546"/>
      <c r="E302" s="546"/>
      <c r="F302" s="546"/>
    </row>
    <row r="303" spans="2:6" ht="15.75" customHeight="1">
      <c r="B303" s="546"/>
      <c r="C303" s="546"/>
      <c r="D303" s="546"/>
      <c r="E303" s="546"/>
      <c r="F303" s="546"/>
    </row>
    <row r="304" spans="2:6" ht="15.75" customHeight="1">
      <c r="B304" s="546"/>
      <c r="C304" s="546"/>
      <c r="D304" s="546"/>
      <c r="E304" s="546"/>
      <c r="F304" s="546"/>
    </row>
    <row r="305" spans="2:6" ht="15.75" customHeight="1">
      <c r="B305" s="546"/>
      <c r="C305" s="546"/>
      <c r="D305" s="546"/>
      <c r="E305" s="546"/>
      <c r="F305" s="546"/>
    </row>
    <row r="306" spans="2:6" ht="15.75" customHeight="1">
      <c r="B306" s="546"/>
      <c r="C306" s="546"/>
      <c r="D306" s="546"/>
      <c r="E306" s="546"/>
      <c r="F306" s="546"/>
    </row>
    <row r="307" spans="2:6" ht="15.75" customHeight="1">
      <c r="B307" s="546"/>
      <c r="C307" s="546"/>
      <c r="D307" s="546"/>
      <c r="E307" s="546"/>
      <c r="F307" s="546"/>
    </row>
    <row r="308" spans="2:6" ht="15.75" customHeight="1">
      <c r="B308" s="546"/>
      <c r="C308" s="546"/>
      <c r="D308" s="546"/>
      <c r="E308" s="546"/>
      <c r="F308" s="546"/>
    </row>
    <row r="309" spans="2:6" ht="15.75" customHeight="1">
      <c r="B309" s="546"/>
      <c r="C309" s="546"/>
      <c r="D309" s="546"/>
      <c r="E309" s="546"/>
      <c r="F309" s="546"/>
    </row>
    <row r="310" spans="2:6" ht="15.75" customHeight="1">
      <c r="B310" s="546"/>
      <c r="C310" s="546"/>
      <c r="D310" s="546"/>
      <c r="E310" s="546"/>
      <c r="F310" s="546"/>
    </row>
    <row r="311" spans="2:6" ht="15.75" customHeight="1">
      <c r="B311" s="546"/>
      <c r="C311" s="546"/>
      <c r="D311" s="546"/>
      <c r="E311" s="546"/>
      <c r="F311" s="546"/>
    </row>
    <row r="312" spans="2:6" ht="15.75" customHeight="1">
      <c r="B312" s="546"/>
      <c r="C312" s="546"/>
      <c r="D312" s="546"/>
      <c r="E312" s="546"/>
      <c r="F312" s="546"/>
    </row>
    <row r="313" spans="2:6" ht="15.75" customHeight="1">
      <c r="B313" s="546"/>
      <c r="C313" s="546"/>
      <c r="D313" s="546"/>
      <c r="E313" s="546"/>
      <c r="F313" s="546"/>
    </row>
    <row r="314" spans="2:6" ht="15.75" customHeight="1">
      <c r="B314" s="546"/>
      <c r="C314" s="546"/>
      <c r="D314" s="546"/>
      <c r="E314" s="546"/>
      <c r="F314" s="546"/>
    </row>
    <row r="315" spans="2:6" ht="15.75" customHeight="1">
      <c r="B315" s="546"/>
      <c r="C315" s="546"/>
      <c r="D315" s="546"/>
      <c r="E315" s="546"/>
      <c r="F315" s="546"/>
    </row>
    <row r="316" spans="2:6" ht="15.75" customHeight="1">
      <c r="B316" s="546"/>
      <c r="C316" s="546"/>
      <c r="D316" s="546"/>
      <c r="E316" s="546"/>
      <c r="F316" s="546"/>
    </row>
    <row r="317" spans="2:6" ht="15.75" customHeight="1">
      <c r="B317" s="546"/>
      <c r="C317" s="546"/>
      <c r="D317" s="546"/>
      <c r="E317" s="546"/>
      <c r="F317" s="546"/>
    </row>
    <row r="318" spans="2:6" ht="15.75" customHeight="1">
      <c r="B318" s="546"/>
      <c r="C318" s="546"/>
      <c r="D318" s="546"/>
      <c r="E318" s="546"/>
      <c r="F318" s="546"/>
    </row>
    <row r="319" spans="2:6" ht="15.75" customHeight="1">
      <c r="B319" s="546"/>
      <c r="C319" s="546"/>
      <c r="D319" s="546"/>
      <c r="E319" s="546"/>
      <c r="F319" s="546"/>
    </row>
    <row r="320" spans="2:6" ht="15.75" customHeight="1">
      <c r="B320" s="546"/>
      <c r="C320" s="546"/>
      <c r="D320" s="546"/>
      <c r="E320" s="546"/>
      <c r="F320" s="546"/>
    </row>
    <row r="321" spans="2:6" ht="15.75" customHeight="1">
      <c r="B321" s="546"/>
      <c r="C321" s="546"/>
      <c r="D321" s="546"/>
      <c r="E321" s="546"/>
      <c r="F321" s="546"/>
    </row>
    <row r="322" spans="2:6" ht="15.75" customHeight="1">
      <c r="B322" s="546"/>
      <c r="C322" s="546"/>
      <c r="D322" s="546"/>
      <c r="E322" s="546"/>
      <c r="F322" s="546"/>
    </row>
    <row r="323" spans="2:6" ht="15.75" customHeight="1">
      <c r="B323" s="546"/>
      <c r="C323" s="546"/>
      <c r="D323" s="546"/>
      <c r="E323" s="546"/>
      <c r="F323" s="546"/>
    </row>
    <row r="324" spans="2:6" ht="15.75" customHeight="1">
      <c r="B324" s="546"/>
      <c r="C324" s="546"/>
      <c r="D324" s="546"/>
      <c r="E324" s="546"/>
      <c r="F324" s="546"/>
    </row>
    <row r="325" spans="2:6" ht="15.75" customHeight="1">
      <c r="B325" s="546"/>
      <c r="C325" s="546"/>
      <c r="D325" s="546"/>
      <c r="E325" s="546"/>
      <c r="F325" s="546"/>
    </row>
    <row r="326" spans="2:6" ht="15.75" customHeight="1">
      <c r="B326" s="546"/>
      <c r="C326" s="546"/>
      <c r="D326" s="546"/>
      <c r="E326" s="546"/>
      <c r="F326" s="546"/>
    </row>
    <row r="327" spans="2:6" ht="15.75" customHeight="1">
      <c r="B327" s="546"/>
      <c r="C327" s="546"/>
      <c r="D327" s="546"/>
      <c r="E327" s="546"/>
      <c r="F327" s="54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0" t="s">
        <v>6063</v>
      </c>
      <c r="B1" s="551" t="s">
        <v>6233</v>
      </c>
      <c r="C1" s="550" t="s">
        <v>3</v>
      </c>
      <c r="D1" s="550" t="s">
        <v>5</v>
      </c>
      <c r="E1" s="552"/>
      <c r="F1" s="552" t="s">
        <v>81</v>
      </c>
      <c r="G1" s="552" t="s">
        <v>6234</v>
      </c>
      <c r="H1" s="552" t="s">
        <v>84</v>
      </c>
      <c r="I1" s="552" t="s">
        <v>6235</v>
      </c>
      <c r="J1" s="552" t="s">
        <v>86</v>
      </c>
      <c r="K1" s="552" t="s">
        <v>3791</v>
      </c>
      <c r="L1" s="552"/>
      <c r="M1" s="552" t="s">
        <v>2904</v>
      </c>
      <c r="N1" s="552" t="s">
        <v>2905</v>
      </c>
      <c r="O1" s="552" t="s">
        <v>2907</v>
      </c>
      <c r="P1" s="552" t="s">
        <v>2909</v>
      </c>
      <c r="Q1" s="552" t="s">
        <v>6236</v>
      </c>
      <c r="R1" s="552" t="s">
        <v>2910</v>
      </c>
    </row>
    <row r="2" spans="1:18" ht="15.75" customHeight="1">
      <c r="A2" s="303" t="s">
        <v>4097</v>
      </c>
      <c r="B2" s="530">
        <v>5490529</v>
      </c>
      <c r="C2" s="530" t="s">
        <v>2931</v>
      </c>
      <c r="D2" s="530" t="s">
        <v>2931</v>
      </c>
      <c r="E2" s="530" t="str">
        <f>IFERROR(VLOOKUP(D2,'Cadastro de assessores'!A:B,2,FALSE),"Não Cadastrado")</f>
        <v>18986</v>
      </c>
      <c r="F2" s="553" t="s">
        <v>134</v>
      </c>
      <c r="G2" s="553" t="s">
        <v>6237</v>
      </c>
      <c r="H2" s="335">
        <v>44222</v>
      </c>
      <c r="I2" s="530" t="s">
        <v>6238</v>
      </c>
      <c r="J2" s="534">
        <v>0.02</v>
      </c>
      <c r="K2" s="554" t="s">
        <v>3937</v>
      </c>
      <c r="L2" s="555" t="s">
        <v>20</v>
      </c>
      <c r="M2" s="555">
        <v>124054.43</v>
      </c>
      <c r="N2" s="555">
        <v>115021.75</v>
      </c>
      <c r="O2" s="555">
        <v>124854.25</v>
      </c>
      <c r="P2" s="555">
        <v>124900.58</v>
      </c>
      <c r="Q2" s="555">
        <v>129858.96</v>
      </c>
      <c r="R2" s="556">
        <v>131958.1</v>
      </c>
    </row>
    <row r="3" spans="1:18" ht="15.75" customHeight="1">
      <c r="A3" s="303" t="s">
        <v>4970</v>
      </c>
      <c r="B3" s="530">
        <v>1759765</v>
      </c>
      <c r="C3" s="530" t="s">
        <v>19</v>
      </c>
      <c r="D3" s="530" t="s">
        <v>3647</v>
      </c>
      <c r="E3" s="530" t="str">
        <f>IFERROR(VLOOKUP(D3,'Cadastro de assessores'!A:B,2,FALSE),"Não Cadastrado")</f>
        <v>14739</v>
      </c>
      <c r="F3" s="553" t="s">
        <v>134</v>
      </c>
      <c r="G3" s="553" t="s">
        <v>6237</v>
      </c>
      <c r="H3" s="335">
        <v>44321</v>
      </c>
      <c r="I3" s="530" t="s">
        <v>137</v>
      </c>
      <c r="J3" s="534">
        <v>1.2E-2</v>
      </c>
      <c r="K3" s="554" t="s">
        <v>3867</v>
      </c>
      <c r="L3" s="555" t="s">
        <v>20</v>
      </c>
      <c r="M3" s="555"/>
      <c r="N3" s="555"/>
      <c r="O3" s="555"/>
      <c r="P3" s="555"/>
      <c r="Q3" s="555">
        <v>271738.86</v>
      </c>
      <c r="R3" s="555">
        <v>279151.86</v>
      </c>
    </row>
    <row r="4" spans="1:18" ht="15.75" customHeight="1">
      <c r="B4" s="54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7" t="s">
        <v>5</v>
      </c>
      <c r="B1" s="558" t="s">
        <v>6239</v>
      </c>
      <c r="C1" s="557" t="s">
        <v>81</v>
      </c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</row>
    <row r="2" spans="1:23" ht="15.75" customHeight="1">
      <c r="A2" s="560" t="s">
        <v>3801</v>
      </c>
      <c r="B2" s="558" t="s">
        <v>6240</v>
      </c>
      <c r="C2" s="557" t="str">
        <f ca="1">IFERROR(__xludf.DUMMYFUNCTION("IF(COUNTA(filter(B:B,B:B=B2))=1,""Regular"",""Conta Repetida"")"),"Regular")</f>
        <v>Regular</v>
      </c>
      <c r="D2" s="559"/>
      <c r="E2" s="559"/>
      <c r="F2" s="537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</row>
    <row r="3" spans="1:23" ht="15.75" customHeight="1">
      <c r="A3" s="557" t="s">
        <v>5266</v>
      </c>
      <c r="B3" s="558" t="s">
        <v>6241</v>
      </c>
      <c r="C3" s="557" t="str">
        <f ca="1">IFERROR(__xludf.DUMMYFUNCTION("IF(COUNTA(filter(B:B,B:B=B3))=1,""Regular"",""Conta Repetida"")"),"Regular")</f>
        <v>Regular</v>
      </c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</row>
    <row r="4" spans="1:23" ht="15.75" customHeight="1">
      <c r="A4" s="557" t="s">
        <v>4136</v>
      </c>
      <c r="B4" s="558" t="s">
        <v>6242</v>
      </c>
      <c r="C4" s="557" t="str">
        <f ca="1">IFERROR(__xludf.DUMMYFUNCTION("IF(COUNTA(filter(B:B,B:B=B4))=1,""Regular"",""Conta Repetida"")"),"Regular")</f>
        <v>Regular</v>
      </c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</row>
    <row r="5" spans="1:23" ht="15.75" customHeight="1">
      <c r="A5" s="557" t="s">
        <v>2518</v>
      </c>
      <c r="B5" s="558" t="s">
        <v>6243</v>
      </c>
      <c r="C5" s="557" t="str">
        <f ca="1">IFERROR(__xludf.DUMMYFUNCTION("IF(COUNTA(filter(B:B,B:B=B5))=1,""Regular"",""Conta Repetida"")"),"Regular")</f>
        <v>Regular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</row>
    <row r="6" spans="1:23" ht="15.75" customHeight="1">
      <c r="A6" s="557" t="s">
        <v>3689</v>
      </c>
      <c r="B6" s="558" t="s">
        <v>6244</v>
      </c>
      <c r="C6" s="557" t="str">
        <f ca="1">IFERROR(__xludf.DUMMYFUNCTION("IF(COUNTA(filter(B:B,B:B=B6))=1,""Regular"",""Conta Repetida"")"),"Regular")</f>
        <v>Regular</v>
      </c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</row>
    <row r="7" spans="1:23" ht="15.75" customHeight="1">
      <c r="A7" s="557" t="s">
        <v>3640</v>
      </c>
      <c r="B7" s="558" t="s">
        <v>6245</v>
      </c>
      <c r="C7" s="557" t="str">
        <f ca="1">IFERROR(__xludf.DUMMYFUNCTION("IF(COUNTA(filter(B:B,B:B=B7))=1,""Regular"",""Conta Repetida"")"),"Regular")</f>
        <v>Regular</v>
      </c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</row>
    <row r="8" spans="1:23" ht="15.75" customHeight="1">
      <c r="A8" s="557" t="s">
        <v>6246</v>
      </c>
      <c r="B8" s="558" t="s">
        <v>6247</v>
      </c>
      <c r="C8" s="557" t="str">
        <f ca="1">IFERROR(__xludf.DUMMYFUNCTION("IF(COUNTA(filter(B:B,B:B=B8))=1,""Regular"",""Conta Repetida"")"),"Regular")</f>
        <v>Regular</v>
      </c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</row>
    <row r="9" spans="1:23" ht="15.75" customHeight="1">
      <c r="A9" s="557" t="s">
        <v>3855</v>
      </c>
      <c r="B9" s="558" t="s">
        <v>6248</v>
      </c>
      <c r="C9" s="557" t="str">
        <f ca="1">IFERROR(__xludf.DUMMYFUNCTION("IF(COUNTA(filter(B:B,B:B=B9))=1,""Regular"",""Conta Repetida"")"),"Regular")</f>
        <v>Regular</v>
      </c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</row>
    <row r="10" spans="1:23" ht="15.75" customHeight="1">
      <c r="A10" s="557" t="s">
        <v>3861</v>
      </c>
      <c r="B10" s="558" t="s">
        <v>6249</v>
      </c>
      <c r="C10" s="557" t="str">
        <f ca="1">IFERROR(__xludf.DUMMYFUNCTION("IF(COUNTA(filter(B:B,B:B=B10))=1,""Regular"",""Conta Repetida"")"),"Regular")</f>
        <v>Regular</v>
      </c>
      <c r="D10" s="559"/>
      <c r="E10" s="559"/>
      <c r="F10" s="559"/>
      <c r="G10" s="559"/>
      <c r="H10" s="559"/>
      <c r="I10" s="559"/>
      <c r="J10" s="559"/>
      <c r="K10" s="559"/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</row>
    <row r="11" spans="1:23" ht="15.75" customHeight="1">
      <c r="A11" s="557" t="s">
        <v>2931</v>
      </c>
      <c r="B11" s="558" t="s">
        <v>6250</v>
      </c>
      <c r="C11" s="557" t="str">
        <f ca="1">IFERROR(__xludf.DUMMYFUNCTION("IF(COUNTA(filter(B:B,B:B=B11))=1,""Regular"",""Conta Repetida"")"),"Regular")</f>
        <v>Regular</v>
      </c>
      <c r="D11" s="559"/>
      <c r="E11" s="559"/>
      <c r="F11" s="559"/>
      <c r="G11" s="559"/>
      <c r="H11" s="559"/>
      <c r="I11" s="559"/>
      <c r="J11" s="559"/>
      <c r="K11" s="559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</row>
    <row r="12" spans="1:23" ht="15.75" customHeight="1">
      <c r="A12" s="557" t="s">
        <v>5313</v>
      </c>
      <c r="B12" s="558" t="s">
        <v>6251</v>
      </c>
      <c r="C12" s="557" t="str">
        <f ca="1">IFERROR(__xludf.DUMMYFUNCTION("IF(COUNTA(filter(B:B,B:B=B12))=1,""Regular"",""Conta Repetida"")"),"Regular")</f>
        <v>Regular</v>
      </c>
      <c r="D12" s="559"/>
      <c r="E12" s="559"/>
      <c r="F12" s="559"/>
      <c r="G12" s="559"/>
      <c r="H12" s="559"/>
      <c r="I12" s="559"/>
      <c r="J12" s="559"/>
      <c r="K12" s="559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</row>
    <row r="13" spans="1:23" ht="15.75" customHeight="1">
      <c r="A13" s="557" t="s">
        <v>3880</v>
      </c>
      <c r="B13" s="558" t="s">
        <v>6252</v>
      </c>
      <c r="C13" s="557" t="str">
        <f ca="1">IFERROR(__xludf.DUMMYFUNCTION("IF(COUNTA(filter(B:B,B:B=B13))=1,""Regular"",""Conta Repetida"")"),"Regular")</f>
        <v>Regular</v>
      </c>
      <c r="D13" s="559"/>
      <c r="E13" s="559"/>
      <c r="F13" s="559"/>
      <c r="G13" s="559"/>
      <c r="H13" s="559"/>
      <c r="I13" s="559"/>
      <c r="J13" s="559"/>
      <c r="K13" s="559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</row>
    <row r="14" spans="1:23" ht="15.75" customHeight="1">
      <c r="A14" s="557" t="s">
        <v>6253</v>
      </c>
      <c r="B14" s="558" t="s">
        <v>6254</v>
      </c>
      <c r="C14" s="557" t="str">
        <f ca="1">IFERROR(__xludf.DUMMYFUNCTION("IF(COUNTA(filter(B:B,B:B=B14))=1,""Regular"",""Conta Repetida"")"),"Regular")</f>
        <v>Regular</v>
      </c>
      <c r="D14" s="559"/>
      <c r="E14" s="559"/>
      <c r="F14" s="559"/>
      <c r="G14" s="559"/>
      <c r="H14" s="559"/>
      <c r="I14" s="559"/>
      <c r="J14" s="559"/>
      <c r="K14" s="559"/>
      <c r="L14" s="559"/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</row>
    <row r="15" spans="1:23" ht="15.75" customHeight="1">
      <c r="A15" s="557" t="s">
        <v>437</v>
      </c>
      <c r="B15" s="558" t="s">
        <v>6255</v>
      </c>
      <c r="C15" s="557" t="str">
        <f ca="1">IFERROR(__xludf.DUMMYFUNCTION("IF(COUNTA(filter(B:B,B:B=B15))=1,""Regular"",""Conta Repetida"")"),"Regular")</f>
        <v>Regular</v>
      </c>
      <c r="D15" s="559"/>
      <c r="E15" s="559"/>
      <c r="F15" s="559"/>
      <c r="G15" s="559"/>
      <c r="H15" s="559"/>
      <c r="I15" s="559"/>
      <c r="J15" s="559"/>
      <c r="K15" s="559"/>
      <c r="L15" s="559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</row>
    <row r="16" spans="1:23" ht="15.75" customHeight="1">
      <c r="A16" s="557" t="s">
        <v>5214</v>
      </c>
      <c r="B16" s="558" t="s">
        <v>6256</v>
      </c>
      <c r="C16" s="557" t="str">
        <f ca="1">IFERROR(__xludf.DUMMYFUNCTION("IF(COUNTA(filter(B:B,B:B=B16))=1,""Regular"",""Conta Repetida"")"),"Regular")</f>
        <v>Regular</v>
      </c>
      <c r="D16" s="559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</row>
    <row r="17" spans="1:23" ht="15.75" customHeight="1">
      <c r="A17" s="557" t="s">
        <v>3898</v>
      </c>
      <c r="B17" s="558" t="s">
        <v>6257</v>
      </c>
      <c r="C17" s="557" t="str">
        <f ca="1">IFERROR(__xludf.DUMMYFUNCTION("IF(COUNTA(filter(B:B,B:B=B17))=1,""Regular"",""Conta Repetida"")"),"Regular")</f>
        <v>Regular</v>
      </c>
      <c r="D17" s="559"/>
      <c r="E17" s="559"/>
      <c r="F17" s="559"/>
      <c r="G17" s="559"/>
      <c r="H17" s="559"/>
      <c r="I17" s="559"/>
      <c r="J17" s="559"/>
      <c r="K17" s="559"/>
      <c r="L17" s="559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</row>
    <row r="18" spans="1:23" ht="15.75" customHeight="1">
      <c r="A18" s="557" t="s">
        <v>265</v>
      </c>
      <c r="B18" s="558" t="s">
        <v>5051</v>
      </c>
      <c r="C18" s="557" t="str">
        <f ca="1">IFERROR(__xludf.DUMMYFUNCTION("IF(COUNTA(filter(B:B,B:B=B18))=1,""Regular"",""Conta Repetida"")"),"Regular")</f>
        <v>Regular</v>
      </c>
      <c r="D18" s="559"/>
      <c r="E18" s="559"/>
      <c r="F18" s="559"/>
      <c r="G18" s="559"/>
      <c r="H18" s="559"/>
      <c r="I18" s="559"/>
      <c r="J18" s="559"/>
      <c r="K18" s="559"/>
      <c r="L18" s="559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</row>
    <row r="19" spans="1:23" ht="15.75" customHeight="1">
      <c r="A19" s="557" t="s">
        <v>791</v>
      </c>
      <c r="B19" s="558" t="s">
        <v>6258</v>
      </c>
      <c r="C19" s="557" t="str">
        <f ca="1">IFERROR(__xludf.DUMMYFUNCTION("IF(COUNTA(filter(B:B,B:B=B19))=1,""Regular"",""Conta Repetida"")"),"Regular")</f>
        <v>Regular</v>
      </c>
      <c r="D19" s="559"/>
      <c r="E19" s="559"/>
      <c r="F19" s="559"/>
      <c r="G19" s="559"/>
      <c r="H19" s="559"/>
      <c r="I19" s="559"/>
      <c r="J19" s="559"/>
      <c r="K19" s="559"/>
      <c r="L19" s="559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</row>
    <row r="20" spans="1:23" ht="15.75" customHeight="1">
      <c r="A20" s="557" t="s">
        <v>6259</v>
      </c>
      <c r="B20" s="558" t="s">
        <v>6260</v>
      </c>
      <c r="C20" s="557" t="str">
        <f ca="1">IFERROR(__xludf.DUMMYFUNCTION("IF(COUNTA(filter(B:B,B:B=B20))=1,""Regular"",""Conta Repetida"")"),"Regular")</f>
        <v>Regular</v>
      </c>
      <c r="D20" s="559"/>
      <c r="E20" s="559"/>
      <c r="F20" s="559"/>
      <c r="G20" s="559"/>
      <c r="H20" s="559"/>
      <c r="I20" s="559"/>
      <c r="J20" s="559"/>
      <c r="K20" s="559"/>
      <c r="L20" s="559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</row>
    <row r="21" spans="1:23" ht="15.75" customHeight="1">
      <c r="A21" s="557" t="s">
        <v>3960</v>
      </c>
      <c r="B21" s="558" t="s">
        <v>6261</v>
      </c>
      <c r="C21" s="557" t="str">
        <f ca="1">IFERROR(__xludf.DUMMYFUNCTION("IF(COUNTA(filter(B:B,B:B=B21))=1,""Regular"",""Conta Repetida"")"),"Regular")</f>
        <v>Regular</v>
      </c>
      <c r="D21" s="559"/>
      <c r="E21" s="559"/>
      <c r="F21" s="559"/>
      <c r="G21" s="559"/>
      <c r="H21" s="559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</row>
    <row r="22" spans="1:23" ht="15.75" customHeight="1">
      <c r="A22" s="557" t="s">
        <v>2932</v>
      </c>
      <c r="B22" s="558" t="s">
        <v>6262</v>
      </c>
      <c r="C22" s="557" t="str">
        <f ca="1">IFERROR(__xludf.DUMMYFUNCTION("IF(COUNTA(filter(B:B,B:B=B22))=1,""Regular"",""Conta Repetida"")"),"Regular")</f>
        <v>Regular</v>
      </c>
      <c r="D22" s="559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</row>
    <row r="23" spans="1:23" ht="15.75" customHeight="1">
      <c r="A23" s="557" t="s">
        <v>3981</v>
      </c>
      <c r="B23" s="558" t="s">
        <v>6263</v>
      </c>
      <c r="C23" s="557" t="str">
        <f ca="1">IFERROR(__xludf.DUMMYFUNCTION("IF(COUNTA(filter(B:B,B:B=B23))=1,""Regular"",""Conta Repetida"")"),"Regular")</f>
        <v>Regular</v>
      </c>
      <c r="D23" s="559"/>
      <c r="E23" s="559"/>
      <c r="F23" s="559"/>
      <c r="G23" s="559"/>
      <c r="H23" s="559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</row>
    <row r="24" spans="1:23" ht="15.75" customHeight="1">
      <c r="A24" s="557" t="s">
        <v>325</v>
      </c>
      <c r="B24" s="558" t="s">
        <v>6264</v>
      </c>
      <c r="C24" s="557" t="str">
        <f ca="1">IFERROR(__xludf.DUMMYFUNCTION("IF(COUNTA(filter(B:B,B:B=B24))=1,""Regular"",""Conta Repetida"")"),"Regular")</f>
        <v>Regular</v>
      </c>
      <c r="D24" s="559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</row>
    <row r="25" spans="1:23" ht="15.75" customHeight="1">
      <c r="A25" s="557" t="s">
        <v>3166</v>
      </c>
      <c r="B25" s="558" t="s">
        <v>6265</v>
      </c>
      <c r="C25" s="557" t="str">
        <f ca="1">IFERROR(__xludf.DUMMYFUNCTION("IF(COUNTA(filter(B:B,B:B=B25))=1,""Regular"",""Conta Repetida"")"),"Regular")</f>
        <v>Regular</v>
      </c>
      <c r="D25" s="559"/>
      <c r="E25" s="559"/>
      <c r="F25" s="559"/>
      <c r="G25" s="559"/>
      <c r="H25" s="559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</row>
    <row r="26" spans="1:23" ht="15.75" customHeight="1">
      <c r="A26" s="557" t="s">
        <v>316</v>
      </c>
      <c r="B26" s="558" t="s">
        <v>6266</v>
      </c>
      <c r="C26" s="557" t="str">
        <f ca="1">IFERROR(__xludf.DUMMYFUNCTION("IF(COUNTA(filter(B:B,B:B=B26))=1,""Regular"",""Conta Repetida"")"),"Regular")</f>
        <v>Regular</v>
      </c>
      <c r="D26" s="559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</row>
    <row r="27" spans="1:23" ht="15.75" customHeight="1">
      <c r="A27" s="557" t="s">
        <v>5194</v>
      </c>
      <c r="B27" s="558" t="s">
        <v>6267</v>
      </c>
      <c r="C27" s="557" t="str">
        <f ca="1">IFERROR(__xludf.DUMMYFUNCTION("IF(COUNTA(filter(B:B,B:B=B27))=1,""Regular"",""Conta Repetida"")"),"Regular")</f>
        <v>Regular</v>
      </c>
      <c r="D27" s="559"/>
      <c r="E27" s="559"/>
      <c r="F27" s="559"/>
      <c r="G27" s="559"/>
      <c r="H27" s="559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</row>
    <row r="28" spans="1:23" ht="15.75" customHeight="1">
      <c r="A28" s="557" t="s">
        <v>4066</v>
      </c>
      <c r="B28" s="558" t="s">
        <v>6268</v>
      </c>
      <c r="C28" s="557" t="str">
        <f ca="1">IFERROR(__xludf.DUMMYFUNCTION("IF(COUNTA(filter(B:B,B:B=B28))=1,""Regular"",""Conta Repetida"")"),"Regular")</f>
        <v>Regular</v>
      </c>
      <c r="D28" s="559"/>
      <c r="E28" s="559"/>
      <c r="F28" s="559"/>
      <c r="G28" s="559"/>
      <c r="H28" s="559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</row>
    <row r="29" spans="1:23" ht="15.75" customHeight="1">
      <c r="A29" s="557" t="s">
        <v>4075</v>
      </c>
      <c r="B29" s="558" t="s">
        <v>6269</v>
      </c>
      <c r="C29" s="557" t="str">
        <f ca="1">IFERROR(__xludf.DUMMYFUNCTION("IF(COUNTA(filter(B:B,B:B=B29))=1,""Regular"",""Conta Repetida"")"),"Regular")</f>
        <v>Regular</v>
      </c>
      <c r="D29" s="559"/>
      <c r="E29" s="559"/>
      <c r="F29" s="559"/>
      <c r="G29" s="559"/>
      <c r="H29" s="559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</row>
    <row r="30" spans="1:23" ht="15.75" customHeight="1">
      <c r="A30" s="557" t="s">
        <v>56</v>
      </c>
      <c r="B30" s="558" t="s">
        <v>6270</v>
      </c>
      <c r="C30" s="557" t="str">
        <f ca="1">IFERROR(__xludf.DUMMYFUNCTION("IF(COUNTA(filter(B:B,B:B=B30))=1,""Regular"",""Conta Repetida"")"),"Regular")</f>
        <v>Regular</v>
      </c>
      <c r="D30" s="559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59"/>
      <c r="P30" s="559"/>
      <c r="Q30" s="559"/>
      <c r="R30" s="559"/>
      <c r="S30" s="559"/>
      <c r="T30" s="559"/>
      <c r="U30" s="559"/>
      <c r="V30" s="559"/>
      <c r="W30" s="559"/>
    </row>
    <row r="31" spans="1:23" ht="15.75" customHeight="1">
      <c r="A31" s="557" t="s">
        <v>6271</v>
      </c>
      <c r="B31" s="558" t="s">
        <v>6272</v>
      </c>
      <c r="C31" s="557" t="str">
        <f ca="1">IFERROR(__xludf.DUMMYFUNCTION("IF(COUNTA(filter(B:B,B:B=B31))=1,""Regular"",""Conta Repetida"")"),"Regular")</f>
        <v>Regular</v>
      </c>
      <c r="D31" s="559"/>
      <c r="E31" s="559"/>
      <c r="F31" s="559"/>
      <c r="G31" s="559"/>
      <c r="H31" s="559"/>
      <c r="I31" s="559"/>
      <c r="J31" s="559"/>
      <c r="K31" s="559"/>
      <c r="L31" s="559"/>
      <c r="M31" s="559"/>
      <c r="N31" s="559"/>
      <c r="O31" s="559"/>
      <c r="P31" s="559"/>
      <c r="Q31" s="559"/>
      <c r="R31" s="559"/>
      <c r="S31" s="559"/>
      <c r="T31" s="559"/>
      <c r="U31" s="559"/>
      <c r="V31" s="559"/>
      <c r="W31" s="559"/>
    </row>
    <row r="32" spans="1:23" ht="15.75" customHeight="1">
      <c r="A32" s="557" t="s">
        <v>4368</v>
      </c>
      <c r="B32" s="558" t="s">
        <v>6273</v>
      </c>
      <c r="C32" s="557" t="str">
        <f ca="1">IFERROR(__xludf.DUMMYFUNCTION("IF(COUNTA(filter(B:B,B:B=B32))=1,""Regular"",""Conta Repetida"")"),"Regular")</f>
        <v>Regular</v>
      </c>
      <c r="D32" s="559"/>
      <c r="E32" s="559"/>
      <c r="F32" s="559"/>
      <c r="G32" s="559"/>
      <c r="H32" s="559"/>
      <c r="I32" s="559"/>
      <c r="J32" s="559"/>
      <c r="K32" s="559"/>
      <c r="L32" s="559"/>
      <c r="M32" s="559"/>
      <c r="N32" s="559"/>
      <c r="O32" s="559"/>
      <c r="P32" s="559"/>
      <c r="Q32" s="559"/>
      <c r="R32" s="559"/>
      <c r="S32" s="559"/>
      <c r="T32" s="559"/>
      <c r="U32" s="559"/>
      <c r="V32" s="559"/>
      <c r="W32" s="559"/>
    </row>
    <row r="33" spans="1:23" ht="15.75" customHeight="1">
      <c r="A33" s="557" t="s">
        <v>5026</v>
      </c>
      <c r="B33" s="558" t="s">
        <v>6274</v>
      </c>
      <c r="C33" s="557" t="str">
        <f ca="1">IFERROR(__xludf.DUMMYFUNCTION("IF(COUNTA(filter(B:B,B:B=B33))=1,""Regular"",""Conta Repetida"")"),"Regular")</f>
        <v>Regular</v>
      </c>
      <c r="D33" s="559"/>
      <c r="E33" s="559"/>
      <c r="F33" s="559"/>
      <c r="G33" s="559"/>
      <c r="H33" s="559"/>
      <c r="I33" s="559"/>
      <c r="J33" s="559"/>
      <c r="K33" s="559"/>
      <c r="L33" s="559"/>
      <c r="M33" s="559"/>
      <c r="N33" s="559"/>
      <c r="O33" s="559"/>
      <c r="P33" s="559"/>
      <c r="Q33" s="559"/>
      <c r="R33" s="559"/>
      <c r="S33" s="559"/>
      <c r="T33" s="559"/>
      <c r="U33" s="559"/>
      <c r="V33" s="559"/>
      <c r="W33" s="559"/>
    </row>
    <row r="34" spans="1:23" ht="15.75" customHeight="1">
      <c r="A34" s="557" t="s">
        <v>4112</v>
      </c>
      <c r="B34" s="558" t="s">
        <v>6275</v>
      </c>
      <c r="C34" s="557" t="str">
        <f ca="1">IFERROR(__xludf.DUMMYFUNCTION("IF(COUNTA(filter(B:B,B:B=B34))=1,""Regular"",""Conta Repetida"")"),"Regular")</f>
        <v>Regular</v>
      </c>
      <c r="D34" s="559"/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</row>
    <row r="35" spans="1:23" ht="15.75" customHeight="1">
      <c r="A35" s="557" t="s">
        <v>46</v>
      </c>
      <c r="B35" s="558" t="s">
        <v>6276</v>
      </c>
      <c r="C35" s="557" t="str">
        <f ca="1">IFERROR(__xludf.DUMMYFUNCTION("IF(COUNTA(filter(B:B,B:B=B35))=1,""Regular"",""Conta Repetida"")"),"Regular")</f>
        <v>Regular</v>
      </c>
      <c r="D35" s="559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/>
      <c r="R35" s="559"/>
      <c r="S35" s="559"/>
      <c r="T35" s="559"/>
      <c r="U35" s="559"/>
      <c r="V35" s="559"/>
      <c r="W35" s="559"/>
    </row>
    <row r="36" spans="1:23" ht="15.75" customHeight="1">
      <c r="A36" s="557" t="s">
        <v>4142</v>
      </c>
      <c r="B36" s="558" t="s">
        <v>6277</v>
      </c>
      <c r="C36" s="557" t="str">
        <f ca="1">IFERROR(__xludf.DUMMYFUNCTION("IF(COUNTA(filter(B:B,B:B=B36))=1,""Regular"",""Conta Repetida"")"),"Regular")</f>
        <v>Regular</v>
      </c>
      <c r="D36" s="559"/>
      <c r="E36" s="559"/>
      <c r="F36" s="559"/>
      <c r="G36" s="559"/>
      <c r="H36" s="559"/>
      <c r="I36" s="559"/>
      <c r="J36" s="559"/>
      <c r="K36" s="559"/>
      <c r="L36" s="559"/>
      <c r="M36" s="559"/>
      <c r="N36" s="559"/>
      <c r="O36" s="559"/>
      <c r="P36" s="559"/>
      <c r="Q36" s="559"/>
      <c r="R36" s="559"/>
      <c r="S36" s="559"/>
      <c r="T36" s="559"/>
      <c r="U36" s="559"/>
      <c r="V36" s="559"/>
      <c r="W36" s="559"/>
    </row>
    <row r="37" spans="1:23" ht="15.75" customHeight="1">
      <c r="A37" s="557" t="s">
        <v>234</v>
      </c>
      <c r="B37" s="558" t="s">
        <v>6278</v>
      </c>
      <c r="C37" s="557" t="str">
        <f ca="1">IFERROR(__xludf.DUMMYFUNCTION("IF(COUNTA(filter(B:B,B:B=B37))=1,""Regular"",""Conta Repetida"")"),"Regular")</f>
        <v>Regular</v>
      </c>
      <c r="D37" s="559"/>
      <c r="E37" s="559"/>
      <c r="F37" s="559"/>
      <c r="G37" s="559"/>
      <c r="H37" s="559"/>
      <c r="I37" s="559"/>
      <c r="J37" s="559"/>
      <c r="K37" s="559"/>
      <c r="L37" s="559"/>
      <c r="M37" s="559"/>
      <c r="N37" s="559"/>
      <c r="O37" s="559"/>
      <c r="P37" s="559"/>
      <c r="Q37" s="559"/>
      <c r="R37" s="559"/>
      <c r="S37" s="559"/>
      <c r="T37" s="559"/>
      <c r="U37" s="559"/>
      <c r="V37" s="559"/>
      <c r="W37" s="559"/>
    </row>
    <row r="38" spans="1:23" ht="15.75" customHeight="1">
      <c r="A38" s="557" t="s">
        <v>6279</v>
      </c>
      <c r="B38" s="558" t="s">
        <v>6280</v>
      </c>
      <c r="C38" s="557" t="str">
        <f ca="1">IFERROR(__xludf.DUMMYFUNCTION("IF(COUNTA(filter(B:B,B:B=B38))=1,""Regular"",""Conta Repetida"")"),"Regular")</f>
        <v>Regular</v>
      </c>
      <c r="D38" s="559"/>
      <c r="E38" s="559"/>
      <c r="F38" s="559"/>
      <c r="G38" s="559"/>
      <c r="H38" s="559"/>
      <c r="I38" s="559"/>
      <c r="J38" s="559"/>
      <c r="K38" s="559"/>
      <c r="L38" s="559"/>
      <c r="M38" s="559"/>
      <c r="N38" s="559"/>
      <c r="O38" s="559"/>
      <c r="P38" s="559"/>
      <c r="Q38" s="559"/>
      <c r="R38" s="559"/>
      <c r="S38" s="559"/>
      <c r="T38" s="559"/>
      <c r="U38" s="559"/>
      <c r="V38" s="559"/>
      <c r="W38" s="559"/>
    </row>
    <row r="39" spans="1:23" ht="15.75" customHeight="1">
      <c r="A39" s="557" t="s">
        <v>3870</v>
      </c>
      <c r="B39" s="558" t="s">
        <v>6281</v>
      </c>
      <c r="C39" s="557" t="str">
        <f ca="1">IFERROR(__xludf.DUMMYFUNCTION("IF(COUNTA(filter(B:B,B:B=B39))=1,""Regular"",""Conta Repetida"")"),"Regular")</f>
        <v>Regular</v>
      </c>
      <c r="D39" s="559"/>
      <c r="E39" s="559"/>
      <c r="F39" s="559"/>
      <c r="G39" s="559"/>
      <c r="H39" s="559"/>
      <c r="I39" s="559"/>
      <c r="J39" s="559"/>
      <c r="K39" s="559"/>
      <c r="L39" s="559"/>
      <c r="M39" s="559"/>
      <c r="N39" s="559"/>
      <c r="O39" s="559"/>
      <c r="P39" s="559"/>
      <c r="Q39" s="559"/>
      <c r="R39" s="559"/>
      <c r="S39" s="559"/>
      <c r="T39" s="559"/>
      <c r="U39" s="559"/>
      <c r="V39" s="559"/>
      <c r="W39" s="559"/>
    </row>
    <row r="40" spans="1:23" ht="15.75" customHeight="1">
      <c r="A40" s="557" t="s">
        <v>4166</v>
      </c>
      <c r="B40" s="558" t="s">
        <v>6282</v>
      </c>
      <c r="C40" s="557" t="str">
        <f ca="1">IFERROR(__xludf.DUMMYFUNCTION("IF(COUNTA(filter(B:B,B:B=B40))=1,""Regular"",""Conta Repetida"")"),"Regular")</f>
        <v>Regular</v>
      </c>
      <c r="D40" s="559"/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</row>
    <row r="41" spans="1:23" ht="15.75" customHeight="1">
      <c r="A41" s="557" t="s">
        <v>4175</v>
      </c>
      <c r="B41" s="558" t="s">
        <v>6283</v>
      </c>
      <c r="C41" s="557" t="str">
        <f ca="1">IFERROR(__xludf.DUMMYFUNCTION("IF(COUNTA(filter(B:B,B:B=B41))=1,""Regular"",""Conta Repetida"")"),"Regular")</f>
        <v>Regular</v>
      </c>
      <c r="D41" s="559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/>
      <c r="R41" s="559"/>
      <c r="S41" s="559"/>
      <c r="T41" s="559"/>
      <c r="U41" s="559"/>
      <c r="V41" s="559"/>
      <c r="W41" s="559"/>
    </row>
    <row r="42" spans="1:23" ht="15.75" customHeight="1">
      <c r="A42" s="557" t="s">
        <v>6284</v>
      </c>
      <c r="B42" s="558" t="s">
        <v>6285</v>
      </c>
      <c r="C42" s="557" t="str">
        <f ca="1">IFERROR(__xludf.DUMMYFUNCTION("IF(COUNTA(filter(B:B,B:B=B42))=1,""Regular"",""Conta Repetida"")"),"Regular")</f>
        <v>Regular</v>
      </c>
      <c r="D42" s="559"/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</row>
    <row r="43" spans="1:23" ht="15.75" customHeight="1">
      <c r="A43" s="557" t="s">
        <v>3080</v>
      </c>
      <c r="B43" s="558" t="s">
        <v>6286</v>
      </c>
      <c r="C43" s="557" t="str">
        <f ca="1">IFERROR(__xludf.DUMMYFUNCTION("IF(COUNTA(filter(B:B,B:B=B43))=1,""Regular"",""Conta Repetida"")"),"Regular")</f>
        <v>Regular</v>
      </c>
      <c r="D43" s="559"/>
      <c r="E43" s="559"/>
      <c r="F43" s="559"/>
      <c r="G43" s="559"/>
      <c r="H43" s="559"/>
      <c r="I43" s="559"/>
      <c r="J43" s="559"/>
      <c r="K43" s="559"/>
      <c r="L43" s="559"/>
      <c r="M43" s="559"/>
      <c r="N43" s="559"/>
      <c r="O43" s="559"/>
      <c r="P43" s="559"/>
      <c r="Q43" s="559"/>
      <c r="R43" s="559"/>
      <c r="S43" s="559"/>
      <c r="T43" s="559"/>
      <c r="U43" s="559"/>
      <c r="V43" s="559"/>
      <c r="W43" s="559"/>
    </row>
    <row r="44" spans="1:23" ht="15.75" customHeight="1">
      <c r="A44" s="557" t="s">
        <v>6287</v>
      </c>
      <c r="B44" s="558" t="s">
        <v>6288</v>
      </c>
      <c r="C44" s="557" t="str">
        <f ca="1">IFERROR(__xludf.DUMMYFUNCTION("IF(COUNTA(filter(B:B,B:B=B44))=1,""Regular"",""Conta Repetida"")"),"Regular")</f>
        <v>Regular</v>
      </c>
      <c r="D44" s="559"/>
      <c r="E44" s="559"/>
      <c r="F44" s="559"/>
      <c r="G44" s="559"/>
      <c r="H44" s="559"/>
      <c r="I44" s="559"/>
      <c r="J44" s="559"/>
      <c r="K44" s="559"/>
      <c r="L44" s="559"/>
      <c r="M44" s="559"/>
      <c r="N44" s="559"/>
      <c r="O44" s="559"/>
      <c r="P44" s="559"/>
      <c r="Q44" s="559"/>
      <c r="R44" s="559"/>
      <c r="S44" s="559"/>
      <c r="T44" s="559"/>
      <c r="U44" s="559"/>
      <c r="V44" s="559"/>
      <c r="W44" s="559"/>
    </row>
    <row r="45" spans="1:23" ht="15.75" customHeight="1">
      <c r="A45" s="557" t="s">
        <v>4309</v>
      </c>
      <c r="B45" s="558" t="s">
        <v>6289</v>
      </c>
      <c r="C45" s="557" t="str">
        <f ca="1">IFERROR(__xludf.DUMMYFUNCTION("IF(COUNTA(filter(B:B,B:B=B45))=1,""Regular"",""Conta Repetida"")"),"Regular")</f>
        <v>Regular</v>
      </c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</row>
    <row r="46" spans="1:23" ht="15.75" customHeight="1">
      <c r="A46" s="557" t="s">
        <v>3647</v>
      </c>
      <c r="B46" s="558" t="s">
        <v>6290</v>
      </c>
      <c r="C46" s="557" t="str">
        <f ca="1">IFERROR(__xludf.DUMMYFUNCTION("IF(COUNTA(filter(B:B,B:B=B46))=1,""Regular"",""Conta Repetida"")"),"Regular")</f>
        <v>Regular</v>
      </c>
      <c r="D46" s="559"/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</row>
    <row r="47" spans="1:23" ht="15.75" customHeight="1">
      <c r="A47" s="557" t="s">
        <v>4323</v>
      </c>
      <c r="B47" s="558" t="s">
        <v>6291</v>
      </c>
      <c r="C47" s="557" t="str">
        <f ca="1">IFERROR(__xludf.DUMMYFUNCTION("IF(COUNTA(filter(B:B,B:B=B47))=1,""Regular"",""Conta Repetida"")"),"Regular")</f>
        <v>Regular</v>
      </c>
      <c r="D47" s="559"/>
      <c r="E47" s="559"/>
      <c r="F47" s="559"/>
      <c r="G47" s="559"/>
      <c r="H47" s="559"/>
      <c r="I47" s="559"/>
      <c r="J47" s="559"/>
      <c r="K47" s="559"/>
      <c r="L47" s="559"/>
      <c r="M47" s="559"/>
      <c r="N47" s="559"/>
      <c r="O47" s="559"/>
      <c r="P47" s="559"/>
      <c r="Q47" s="559"/>
      <c r="R47" s="559"/>
      <c r="S47" s="559"/>
      <c r="T47" s="559"/>
      <c r="U47" s="559"/>
      <c r="V47" s="559"/>
      <c r="W47" s="559"/>
    </row>
    <row r="48" spans="1:23" ht="15.75" customHeight="1">
      <c r="A48" s="557" t="s">
        <v>6292</v>
      </c>
      <c r="B48" s="558" t="s">
        <v>6293</v>
      </c>
      <c r="C48" s="557" t="str">
        <f ca="1">IFERROR(__xludf.DUMMYFUNCTION("IF(COUNTA(filter(B:B,B:B=B48))=1,""Regular"",""Conta Repetida"")"),"Regular")</f>
        <v>Regular</v>
      </c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</row>
    <row r="49" spans="1:23" ht="15.75" customHeight="1">
      <c r="A49" s="557" t="s">
        <v>4371</v>
      </c>
      <c r="B49" s="558" t="s">
        <v>6294</v>
      </c>
      <c r="C49" s="557" t="str">
        <f ca="1">IFERROR(__xludf.DUMMYFUNCTION("IF(COUNTA(filter(B:B,B:B=B49))=1,""Regular"",""Conta Repetida"")"),"Regular")</f>
        <v>Regular</v>
      </c>
      <c r="D49" s="559"/>
      <c r="E49" s="559"/>
      <c r="F49" s="559"/>
      <c r="G49" s="559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/>
      <c r="V49" s="559"/>
      <c r="W49" s="559"/>
    </row>
    <row r="50" spans="1:23" ht="15.75" customHeight="1">
      <c r="A50" s="557" t="s">
        <v>6295</v>
      </c>
      <c r="B50" s="558" t="s">
        <v>6296</v>
      </c>
      <c r="C50" s="557" t="str">
        <f ca="1">IFERROR(__xludf.DUMMYFUNCTION("IF(COUNTA(filter(B:B,B:B=B50))=1,""Regular"",""Conta Repetida"")"),"Regular")</f>
        <v>Regular</v>
      </c>
      <c r="D50" s="559"/>
      <c r="E50" s="559"/>
      <c r="F50" s="559"/>
      <c r="G50" s="559"/>
      <c r="H50" s="559"/>
      <c r="I50" s="559"/>
      <c r="J50" s="559"/>
      <c r="K50" s="559"/>
      <c r="L50" s="559"/>
      <c r="M50" s="559"/>
      <c r="N50" s="559"/>
      <c r="O50" s="559"/>
      <c r="P50" s="559"/>
      <c r="Q50" s="559"/>
      <c r="R50" s="559"/>
      <c r="S50" s="559"/>
      <c r="T50" s="559"/>
      <c r="U50" s="559"/>
      <c r="V50" s="559"/>
      <c r="W50" s="559"/>
    </row>
    <row r="51" spans="1:23" ht="15.75" customHeight="1">
      <c r="A51" s="557" t="s">
        <v>4480</v>
      </c>
      <c r="B51" s="558" t="s">
        <v>6297</v>
      </c>
      <c r="C51" s="557" t="str">
        <f ca="1">IFERROR(__xludf.DUMMYFUNCTION("IF(COUNTA(filter(B:B,B:B=B51))=1,""Regular"",""Conta Repetida"")"),"Regular")</f>
        <v>Regular</v>
      </c>
      <c r="D51" s="559"/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</row>
    <row r="52" spans="1:23" ht="15.75" customHeight="1">
      <c r="A52" s="557" t="s">
        <v>3684</v>
      </c>
      <c r="B52" s="558" t="s">
        <v>6298</v>
      </c>
      <c r="C52" s="557" t="str">
        <f ca="1">IFERROR(__xludf.DUMMYFUNCTION("IF(COUNTA(filter(B:B,B:B=B52))=1,""Regular"",""Conta Repetida"")"),"Regular")</f>
        <v>Regular</v>
      </c>
      <c r="D52" s="559"/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</row>
    <row r="53" spans="1:23" ht="15.75" customHeight="1">
      <c r="A53" s="557" t="s">
        <v>2963</v>
      </c>
      <c r="B53" s="558" t="s">
        <v>6299</v>
      </c>
      <c r="C53" s="557" t="str">
        <f ca="1">IFERROR(__xludf.DUMMYFUNCTION("IF(COUNTA(filter(B:B,B:B=B53))=1,""Regular"",""Conta Repetida"")"),"Regular")</f>
        <v>Regular</v>
      </c>
      <c r="D53" s="559"/>
      <c r="E53" s="559"/>
      <c r="F53" s="559"/>
      <c r="G53" s="559"/>
      <c r="H53" s="559"/>
      <c r="I53" s="559"/>
      <c r="J53" s="559"/>
      <c r="K53" s="559"/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559"/>
      <c r="W53" s="559"/>
    </row>
    <row r="54" spans="1:23" ht="15.75" customHeight="1">
      <c r="A54" s="557" t="s">
        <v>6300</v>
      </c>
      <c r="B54" s="558" t="s">
        <v>6301</v>
      </c>
      <c r="C54" s="557" t="str">
        <f ca="1">IFERROR(__xludf.DUMMYFUNCTION("IF(COUNTA(filter(B:B,B:B=B54))=1,""Regular"",""Conta Repetida"")"),"Regular")</f>
        <v>Regular</v>
      </c>
      <c r="D54" s="559"/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</row>
    <row r="55" spans="1:23" ht="15.75" customHeight="1">
      <c r="A55" s="557" t="s">
        <v>4734</v>
      </c>
      <c r="B55" s="558" t="s">
        <v>6302</v>
      </c>
      <c r="C55" s="557" t="str">
        <f ca="1">IFERROR(__xludf.DUMMYFUNCTION("IF(COUNTA(filter(B:B,B:B=B55))=1,""Regular"",""Conta Repetida"")"),"Regular")</f>
        <v>Regular</v>
      </c>
      <c r="D55" s="559"/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</row>
    <row r="56" spans="1:23" ht="15.75" customHeight="1">
      <c r="A56" s="557" t="s">
        <v>4761</v>
      </c>
      <c r="B56" s="558" t="s">
        <v>6303</v>
      </c>
      <c r="C56" s="557" t="str">
        <f ca="1">IFERROR(__xludf.DUMMYFUNCTION("IF(COUNTA(filter(B:B,B:B=B56))=1,""Regular"",""Conta Repetida"")"),"Regular")</f>
        <v>Regular</v>
      </c>
      <c r="D56" s="559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</row>
    <row r="57" spans="1:23" ht="15.75" customHeight="1">
      <c r="A57" s="557" t="s">
        <v>4804</v>
      </c>
      <c r="B57" s="558" t="s">
        <v>6304</v>
      </c>
      <c r="C57" s="557" t="str">
        <f ca="1">IFERROR(__xludf.DUMMYFUNCTION("IF(COUNTA(filter(B:B,B:B=B57))=1,""Regular"",""Conta Repetida"")"),"Regular")</f>
        <v>Regular</v>
      </c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59"/>
      <c r="V57" s="559"/>
      <c r="W57" s="559"/>
    </row>
    <row r="58" spans="1:23" ht="15.75" customHeight="1">
      <c r="A58" s="557" t="s">
        <v>4841</v>
      </c>
      <c r="B58" s="558" t="s">
        <v>6305</v>
      </c>
      <c r="C58" s="557" t="str">
        <f ca="1">IFERROR(__xludf.DUMMYFUNCTION("IF(COUNTA(filter(B:B,B:B=B58))=1,""Regular"",""Conta Repetida"")"),"Regular")</f>
        <v>Regular</v>
      </c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</row>
    <row r="59" spans="1:23" ht="15.75" customHeight="1">
      <c r="A59" s="557" t="s">
        <v>4351</v>
      </c>
      <c r="B59" s="558" t="s">
        <v>6306</v>
      </c>
      <c r="C59" s="557" t="str">
        <f ca="1">IFERROR(__xludf.DUMMYFUNCTION("IF(COUNTA(filter(B:B,B:B=B59))=1,""Regular"",""Conta Repetida"")"),"Regular")</f>
        <v>Regular</v>
      </c>
      <c r="D59" s="559"/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</row>
    <row r="60" spans="1:23" ht="15.75" customHeight="1">
      <c r="A60" s="557" t="s">
        <v>6307</v>
      </c>
      <c r="B60" s="558" t="s">
        <v>6308</v>
      </c>
      <c r="C60" s="557" t="str">
        <f ca="1">IFERROR(__xludf.DUMMYFUNCTION("IF(COUNTA(filter(B:B,B:B=B60))=1,""Regular"",""Conta Repetida"")"),"Regular")</f>
        <v>Regular</v>
      </c>
      <c r="D60" s="559"/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</row>
    <row r="61" spans="1:23" ht="15.75" customHeight="1">
      <c r="A61" s="557" t="s">
        <v>6309</v>
      </c>
      <c r="B61" s="558" t="s">
        <v>6310</v>
      </c>
      <c r="C61" s="557" t="str">
        <f ca="1">IFERROR(__xludf.DUMMYFUNCTION("IF(COUNTA(filter(B:B,B:B=B61))=1,""Regular"",""Conta Repetida"")"),"Regular")</f>
        <v>Regular</v>
      </c>
      <c r="D61" s="559"/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</row>
    <row r="62" spans="1:23" ht="15.75" customHeight="1">
      <c r="A62" s="557" t="s">
        <v>5044</v>
      </c>
      <c r="B62" s="558" t="s">
        <v>6311</v>
      </c>
      <c r="C62" s="557" t="str">
        <f ca="1">IFERROR(__xludf.DUMMYFUNCTION("IF(COUNTA(filter(B:B,B:B=B62))=1,""Regular"",""Conta Repetida"")"),"Regular")</f>
        <v>Regular</v>
      </c>
      <c r="D62" s="559"/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</row>
    <row r="63" spans="1:23" ht="15.75" customHeight="1">
      <c r="A63" s="557" t="s">
        <v>6312</v>
      </c>
      <c r="B63" s="558" t="s">
        <v>6313</v>
      </c>
      <c r="C63" s="557" t="str">
        <f ca="1">IFERROR(__xludf.DUMMYFUNCTION("IF(COUNTA(filter(B:B,B:B=B63))=1,""Regular"",""Conta Repetida"")"),"Regular")</f>
        <v>Regular</v>
      </c>
      <c r="D63" s="559"/>
      <c r="E63" s="559"/>
      <c r="F63" s="559"/>
      <c r="G63" s="559"/>
      <c r="H63" s="559"/>
      <c r="I63" s="559"/>
      <c r="J63" s="559"/>
      <c r="K63" s="559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</row>
    <row r="64" spans="1:23" ht="15.75" customHeight="1">
      <c r="A64" s="557" t="s">
        <v>5246</v>
      </c>
      <c r="B64" s="558" t="s">
        <v>6314</v>
      </c>
      <c r="C64" s="557" t="str">
        <f ca="1">IFERROR(__xludf.DUMMYFUNCTION("IF(COUNTA(filter(B:B,B:B=B64))=1,""Regular"",""Conta Repetida"")"),"Regular")</f>
        <v>Regular</v>
      </c>
      <c r="D64" s="559"/>
      <c r="E64" s="559"/>
      <c r="F64" s="559"/>
      <c r="G64" s="559"/>
      <c r="H64" s="559"/>
      <c r="I64" s="559"/>
      <c r="J64" s="559"/>
      <c r="K64" s="559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</row>
    <row r="65" spans="1:23" ht="15.75" customHeight="1">
      <c r="A65" s="557" t="s">
        <v>67</v>
      </c>
      <c r="B65" s="558" t="s">
        <v>3915</v>
      </c>
      <c r="C65" s="557" t="str">
        <f ca="1">IFERROR(__xludf.DUMMYFUNCTION("IF(COUNTA(filter(B:B,B:B=B65))=1,""Regular"",""Conta Repetida"")"),"Regular")</f>
        <v>Regular</v>
      </c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</row>
    <row r="66" spans="1:23" ht="15.75" customHeight="1">
      <c r="A66" s="557" t="s">
        <v>4459</v>
      </c>
      <c r="B66" s="558" t="s">
        <v>6315</v>
      </c>
      <c r="C66" s="557" t="str">
        <f ca="1">IFERROR(__xludf.DUMMYFUNCTION("IF(COUNTA(filter(B:B,B:B=B66))=1,""Regular"",""Conta Repetida"")"),"Regular")</f>
        <v>Regular</v>
      </c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</row>
    <row r="67" spans="1:23" ht="15.75" customHeight="1">
      <c r="A67" s="557" t="s">
        <v>5406</v>
      </c>
      <c r="B67" s="558" t="s">
        <v>6316</v>
      </c>
      <c r="C67" s="557" t="str">
        <f ca="1">IFERROR(__xludf.DUMMYFUNCTION("IF(COUNTA(filter(B:B,B:B=B67))=1,""Regular"",""Conta Repetida"")"),"Regular")</f>
        <v>Regular</v>
      </c>
      <c r="D67" s="559"/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</row>
    <row r="68" spans="1:23" ht="15.75" customHeight="1">
      <c r="A68" s="557" t="s">
        <v>2938</v>
      </c>
      <c r="B68" s="558" t="s">
        <v>6317</v>
      </c>
      <c r="C68" s="557" t="str">
        <f ca="1">IFERROR(__xludf.DUMMYFUNCTION("IF(COUNTA(filter(B:B,B:B=B68))=1,""Regular"",""Conta Repetida"")"),"Regular")</f>
        <v>Regular</v>
      </c>
      <c r="D68" s="559"/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</row>
    <row r="69" spans="1:23" ht="15.75" customHeight="1">
      <c r="A69" s="557" t="s">
        <v>250</v>
      </c>
      <c r="B69" s="558" t="s">
        <v>6318</v>
      </c>
      <c r="C69" s="557" t="str">
        <f ca="1">IFERROR(__xludf.DUMMYFUNCTION("IF(COUNTA(filter(B:B,B:B=B69))=1,""Regular"",""Conta Repetida"")"),"Regular")</f>
        <v>Regular</v>
      </c>
      <c r="D69" s="559"/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</row>
    <row r="70" spans="1:23" ht="15.75" customHeight="1">
      <c r="A70" s="557" t="s">
        <v>199</v>
      </c>
      <c r="B70" s="558" t="s">
        <v>6319</v>
      </c>
      <c r="C70" s="557" t="str">
        <f ca="1">IFERROR(__xludf.DUMMYFUNCTION("IF(COUNTA(filter(B:B,B:B=B70))=1,""Regular"",""Conta Repetida"")"),"Regular")</f>
        <v>Regular</v>
      </c>
      <c r="D70" s="559"/>
      <c r="E70" s="559"/>
      <c r="F70" s="559"/>
      <c r="G70" s="559"/>
      <c r="H70" s="559"/>
      <c r="I70" s="559"/>
      <c r="J70" s="559"/>
      <c r="K70" s="559"/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</row>
    <row r="71" spans="1:23" ht="15.75" customHeight="1">
      <c r="A71" s="557" t="s">
        <v>2979</v>
      </c>
      <c r="B71" s="558" t="s">
        <v>6320</v>
      </c>
      <c r="C71" s="557" t="str">
        <f ca="1">IFERROR(__xludf.DUMMYFUNCTION("IF(COUNTA(filter(B:B,B:B=B71))=1,""Regular"",""Conta Repetida"")"),"Regular")</f>
        <v>Regular</v>
      </c>
      <c r="D71" s="559"/>
      <c r="E71" s="559"/>
      <c r="F71" s="559"/>
      <c r="G71" s="559"/>
      <c r="H71" s="559"/>
      <c r="I71" s="559"/>
      <c r="J71" s="559"/>
      <c r="K71" s="559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</row>
    <row r="72" spans="1:23" ht="15.75" customHeight="1">
      <c r="A72" s="557" t="s">
        <v>2997</v>
      </c>
      <c r="B72" s="558" t="s">
        <v>6321</v>
      </c>
      <c r="C72" s="557" t="str">
        <f ca="1">IFERROR(__xludf.DUMMYFUNCTION("IF(COUNTA(filter(B:B,B:B=B72))=1,""Regular"",""Conta Repetida"")"),"Regular")</f>
        <v>Regular</v>
      </c>
      <c r="D72" s="559"/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</row>
    <row r="73" spans="1:23" ht="15.75" customHeight="1">
      <c r="A73" s="557" t="s">
        <v>6322</v>
      </c>
      <c r="B73" s="558" t="s">
        <v>6323</v>
      </c>
      <c r="C73" s="557" t="str">
        <f ca="1">IFERROR(__xludf.DUMMYFUNCTION("IF(COUNTA(filter(B:B,B:B=B73))=1,""Regular"",""Conta Repetida"")"),"Regular")</f>
        <v>Regular</v>
      </c>
      <c r="D73" s="559"/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</row>
    <row r="74" spans="1:23" ht="15.75" customHeight="1">
      <c r="A74" s="557" t="s">
        <v>3624</v>
      </c>
      <c r="B74" s="558" t="s">
        <v>6324</v>
      </c>
      <c r="C74" s="557" t="str">
        <f ca="1">IFERROR(__xludf.DUMMYFUNCTION("IF(COUNTA(filter(B:B,B:B=B74))=1,""Regular"",""Conta Repetida"")"),"Regular")</f>
        <v>Regular</v>
      </c>
      <c r="D74" s="559"/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</row>
    <row r="75" spans="1:23" ht="15.75" customHeight="1">
      <c r="A75" s="557" t="s">
        <v>3659</v>
      </c>
      <c r="B75" s="558" t="s">
        <v>6325</v>
      </c>
      <c r="C75" s="557" t="str">
        <f ca="1">IFERROR(__xludf.DUMMYFUNCTION("IF(COUNTA(filter(B:B,B:B=B75))=1,""Regular"",""Conta Repetida"")"),"Regular")</f>
        <v>Regular</v>
      </c>
      <c r="D75" s="559"/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</row>
    <row r="76" spans="1:23" ht="15.75" customHeight="1">
      <c r="A76" s="557" t="s">
        <v>3667</v>
      </c>
      <c r="B76" s="558" t="s">
        <v>6326</v>
      </c>
      <c r="C76" s="557" t="str">
        <f ca="1">IFERROR(__xludf.DUMMYFUNCTION("IF(COUNTA(filter(B:B,B:B=B76))=1,""Regular"",""Conta Repetida"")"),"Regular")</f>
        <v>Regular</v>
      </c>
      <c r="D76" s="559"/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</row>
    <row r="77" spans="1:23" ht="15.75" customHeight="1">
      <c r="A77" s="557" t="s">
        <v>6327</v>
      </c>
      <c r="B77" s="558">
        <v>15678</v>
      </c>
      <c r="C77" s="557" t="str">
        <f ca="1">IFERROR(__xludf.DUMMYFUNCTION("IF(COUNTA(filter(B:B,B:B=B77))=1,""Regular"",""Conta Repetida"")"),"Regular")</f>
        <v>Regular</v>
      </c>
      <c r="D77" s="559"/>
      <c r="E77" s="559"/>
      <c r="F77" s="559"/>
      <c r="G77" s="559"/>
      <c r="H77" s="559"/>
      <c r="I77" s="559"/>
      <c r="J77" s="559"/>
      <c r="K77" s="559"/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</row>
    <row r="78" spans="1:23" ht="15.75" customHeight="1">
      <c r="A78" s="557" t="s">
        <v>3016</v>
      </c>
      <c r="B78" s="558">
        <v>26542</v>
      </c>
      <c r="C78" s="557" t="str">
        <f ca="1">IFERROR(__xludf.DUMMYFUNCTION("IF(COUNTA(filter(B:B,B:B=B78))=1,""Regular"",""Conta Repetida"")"),"Regular")</f>
        <v>Regular</v>
      </c>
      <c r="D78" s="559"/>
      <c r="E78" s="559"/>
      <c r="F78" s="559"/>
      <c r="G78" s="559"/>
      <c r="H78" s="559"/>
      <c r="I78" s="559"/>
      <c r="J78" s="559"/>
      <c r="K78" s="559"/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</row>
    <row r="79" spans="1:23" ht="15.75" customHeight="1">
      <c r="A79" s="560" t="s">
        <v>6328</v>
      </c>
      <c r="B79" s="558">
        <v>12345</v>
      </c>
      <c r="C79" s="557" t="str">
        <f ca="1">IFERROR(__xludf.DUMMYFUNCTION("IF(COUNTA(filter(B:B,B:B=B79))=1,""Regular"",""Conta Repetida"")"),"Regular")</f>
        <v>Regular</v>
      </c>
      <c r="D79" s="559"/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</row>
    <row r="80" spans="1:23" ht="15.75" customHeight="1">
      <c r="A80" s="560" t="s">
        <v>21</v>
      </c>
      <c r="B80" s="558">
        <v>12344</v>
      </c>
      <c r="C80" s="557" t="str">
        <f ca="1">IFERROR(__xludf.DUMMYFUNCTION("IF(COUNTA(filter(B:B,B:B=B80))=1,""Regular"",""Conta Repetida"")"),"Regular")</f>
        <v>Regular</v>
      </c>
      <c r="D80" s="559"/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</row>
    <row r="81" spans="1:23" ht="15.75" customHeight="1">
      <c r="A81" s="557" t="s">
        <v>2230</v>
      </c>
      <c r="B81" s="558">
        <v>12343</v>
      </c>
      <c r="C81" s="557" t="str">
        <f ca="1">IFERROR(__xludf.DUMMYFUNCTION("IF(COUNTA(filter(B:B,B:B=B81))=1,""Regular"",""Conta Repetida"")"),"Regular")</f>
        <v>Regular</v>
      </c>
      <c r="D81" s="559"/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</row>
    <row r="82" spans="1:23" ht="15.75" customHeight="1">
      <c r="A82" s="557" t="s">
        <v>935</v>
      </c>
      <c r="B82" s="558">
        <v>12342</v>
      </c>
      <c r="C82" s="557" t="str">
        <f ca="1">IFERROR(__xludf.DUMMYFUNCTION("IF(COUNTA(filter(B:B,B:B=B82))=1,""Regular"",""Conta Repetida"")"),"Regular")</f>
        <v>Regular</v>
      </c>
      <c r="D82" s="559"/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</row>
    <row r="83" spans="1:23" ht="15.75" customHeight="1">
      <c r="A83" s="533" t="s">
        <v>6329</v>
      </c>
      <c r="B83" s="558">
        <v>12341</v>
      </c>
      <c r="C83" s="557" t="str">
        <f ca="1">IFERROR(__xludf.DUMMYFUNCTION("IF(COUNTA(filter(B:B,B:B=B83))=1,""Regular"",""Conta Repetida"")"),"Regular")</f>
        <v>Regular</v>
      </c>
      <c r="D83" s="559"/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</row>
    <row r="84" spans="1:23" ht="15.75" customHeight="1">
      <c r="A84" s="533" t="s">
        <v>4744</v>
      </c>
      <c r="B84" s="558">
        <v>12340</v>
      </c>
      <c r="C84" s="557" t="str">
        <f ca="1">IFERROR(__xludf.DUMMYFUNCTION("IF(COUNTA(filter(B:B,B:B=B84))=1,""Regular"",""Conta Repetida"")"),"Regular")</f>
        <v>Regular</v>
      </c>
      <c r="D84" s="559"/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</row>
    <row r="85" spans="1:23" ht="15.75" customHeight="1">
      <c r="A85" s="533" t="s">
        <v>4105</v>
      </c>
      <c r="B85" s="558">
        <v>12339</v>
      </c>
      <c r="C85" s="557" t="str">
        <f ca="1">IFERROR(__xludf.DUMMYFUNCTION("IF(COUNTA(filter(B:B,B:B=B85))=1,""Regular"",""Conta Repetida"")"),"Regular")</f>
        <v>Regular</v>
      </c>
      <c r="D85" s="559"/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</row>
    <row r="86" spans="1:23" ht="15.75" customHeight="1">
      <c r="A86" s="533" t="s">
        <v>4944</v>
      </c>
      <c r="B86" s="558">
        <v>12338</v>
      </c>
      <c r="C86" s="557" t="str">
        <f ca="1">IFERROR(__xludf.DUMMYFUNCTION("IF(COUNTA(filter(B:B,B:B=B86))=1,""Regular"",""Conta Repetida"")"),"Regular")</f>
        <v>Regular</v>
      </c>
      <c r="D86" s="559"/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</row>
    <row r="87" spans="1:23" ht="15.75" customHeight="1">
      <c r="A87" s="533" t="s">
        <v>4150</v>
      </c>
      <c r="B87" s="558">
        <v>12337</v>
      </c>
      <c r="C87" s="557" t="str">
        <f ca="1">IFERROR(__xludf.DUMMYFUNCTION("IF(COUNTA(filter(B:B,B:B=B87))=1,""Regular"",""Conta Repetida"")"),"Regular")</f>
        <v>Regular</v>
      </c>
      <c r="D87" s="559"/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</row>
    <row r="88" spans="1:23" ht="15.75" customHeight="1">
      <c r="A88" s="533" t="s">
        <v>3809</v>
      </c>
      <c r="B88" s="558">
        <v>12336</v>
      </c>
      <c r="C88" s="557" t="str">
        <f ca="1">IFERROR(__xludf.DUMMYFUNCTION("IF(COUNTA(filter(B:B,B:B=B88))=1,""Regular"",""Conta Repetida"")"),"Regular")</f>
        <v>Regular</v>
      </c>
      <c r="D88" s="559"/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</row>
    <row r="89" spans="1:23" ht="15.75" customHeight="1">
      <c r="A89" s="533" t="s">
        <v>4226</v>
      </c>
      <c r="B89" s="558">
        <v>12335</v>
      </c>
      <c r="C89" s="557" t="str">
        <f ca="1">IFERROR(__xludf.DUMMYFUNCTION("IF(COUNTA(filter(B:B,B:B=B89))=1,""Regular"",""Conta Repetida"")"),"Regular")</f>
        <v>Regular</v>
      </c>
      <c r="D89" s="559"/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</row>
    <row r="90" spans="1:23" ht="15.75" customHeight="1">
      <c r="A90" s="533" t="s">
        <v>6330</v>
      </c>
      <c r="B90" s="558">
        <v>12334</v>
      </c>
      <c r="C90" s="557" t="str">
        <f ca="1">IFERROR(__xludf.DUMMYFUNCTION("IF(COUNTA(filter(B:B,B:B=B90))=1,""Regular"",""Conta Repetida"")"),"Regular")</f>
        <v>Regular</v>
      </c>
      <c r="D90" s="559"/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</row>
    <row r="91" spans="1:23" ht="15.75" customHeight="1">
      <c r="A91" s="560" t="s">
        <v>6246</v>
      </c>
      <c r="B91" s="558">
        <v>12333</v>
      </c>
      <c r="C91" s="557" t="str">
        <f ca="1">IFERROR(__xludf.DUMMYFUNCTION("IF(COUNTA(filter(B:B,B:B=B91))=1,""Regular"",""Conta Repetida"")"),"Regular")</f>
        <v>Regular</v>
      </c>
      <c r="D91" s="559"/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</row>
    <row r="92" spans="1:23" ht="15.75" customHeight="1">
      <c r="A92" s="560" t="s">
        <v>184</v>
      </c>
      <c r="B92" s="558">
        <v>12332</v>
      </c>
      <c r="C92" s="557" t="str">
        <f ca="1">IFERROR(__xludf.DUMMYFUNCTION("IF(COUNTA(filter(B:B,B:B=B92))=1,""Regular"",""Conta Repetida"")"),"Regular")</f>
        <v>Regular</v>
      </c>
      <c r="D92" s="559"/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</row>
    <row r="93" spans="1:23" ht="15.75" customHeight="1">
      <c r="A93" s="560" t="s">
        <v>144</v>
      </c>
      <c r="B93" s="558">
        <v>12331</v>
      </c>
      <c r="C93" s="557" t="str">
        <f ca="1">IFERROR(__xludf.DUMMYFUNCTION("IF(COUNTA(filter(B:B,B:B=B93))=1,""Regular"",""Conta Repetida"")"),"Regular")</f>
        <v>Regular</v>
      </c>
      <c r="D93" s="559"/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</row>
    <row r="94" spans="1:23" ht="15.75" customHeight="1">
      <c r="A94" s="560" t="s">
        <v>4275</v>
      </c>
      <c r="B94" s="558">
        <v>12330</v>
      </c>
      <c r="C94" s="557" t="str">
        <f ca="1">IFERROR(__xludf.DUMMYFUNCTION("IF(COUNTA(filter(B:B,B:B=B94))=1,""Regular"",""Conta Repetida"")"),"Regular")</f>
        <v>Regular</v>
      </c>
      <c r="D94" s="559"/>
      <c r="E94" s="559"/>
      <c r="F94" s="559"/>
      <c r="G94" s="559"/>
      <c r="H94" s="559"/>
      <c r="I94" s="559"/>
      <c r="J94" s="559"/>
      <c r="K94" s="559"/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</row>
    <row r="95" spans="1:23" ht="15.75" customHeight="1">
      <c r="A95" s="560" t="s">
        <v>2810</v>
      </c>
      <c r="B95" s="558">
        <v>12347</v>
      </c>
      <c r="C95" s="557" t="str">
        <f ca="1">IFERROR(__xludf.DUMMYFUNCTION("IF(COUNTA(filter(B:B,B:B=B95))=1,""Regular"",""Conta Repetida"")"),"Regular")</f>
        <v>Regular</v>
      </c>
      <c r="D95" s="559"/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</row>
    <row r="96" spans="1:23" ht="15.75" customHeight="1">
      <c r="A96" s="560" t="s">
        <v>6331</v>
      </c>
      <c r="B96" s="558">
        <v>12348</v>
      </c>
      <c r="C96" s="557" t="str">
        <f ca="1">IFERROR(__xludf.DUMMYFUNCTION("IF(COUNTA(filter(B:B,B:B=B96))=1,""Regular"",""Conta Repetida"")"),"Regular")</f>
        <v>Regular</v>
      </c>
      <c r="D96" s="559"/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</row>
    <row r="97" spans="1:23" ht="15.75" customHeight="1">
      <c r="A97" s="560" t="s">
        <v>6332</v>
      </c>
      <c r="B97" s="558">
        <v>12349</v>
      </c>
      <c r="C97" s="557" t="str">
        <f ca="1">IFERROR(__xludf.DUMMYFUNCTION("IF(COUNTA(filter(B:B,B:B=B97))=1,""Regular"",""Conta Repetida"")"),"Regular")</f>
        <v>Regular</v>
      </c>
      <c r="D97" s="559"/>
      <c r="E97" s="559"/>
      <c r="F97" s="559"/>
      <c r="G97" s="559"/>
      <c r="H97" s="559"/>
      <c r="I97" s="559"/>
      <c r="J97" s="559"/>
      <c r="K97" s="559"/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</row>
    <row r="98" spans="1:23" ht="15.75" customHeight="1">
      <c r="A98" s="560" t="s">
        <v>2039</v>
      </c>
      <c r="B98" s="558">
        <v>12350</v>
      </c>
      <c r="C98" s="557" t="str">
        <f ca="1">IFERROR(__xludf.DUMMYFUNCTION("IF(COUNTA(filter(B:B,B:B=B98))=1,""Regular"",""Conta Repetida"")"),"Regular")</f>
        <v>Regular</v>
      </c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</row>
    <row r="99" spans="1:23" ht="15.75" customHeight="1">
      <c r="A99" s="560" t="s">
        <v>3991</v>
      </c>
      <c r="B99" s="558">
        <v>12351</v>
      </c>
      <c r="C99" s="557" t="str">
        <f ca="1">IFERROR(__xludf.DUMMYFUNCTION("IF(COUNTA(filter(B:B,B:B=B99))=1,""Regular"",""Conta Repetida"")"),"Regular")</f>
        <v>Regular</v>
      </c>
      <c r="D99" s="559"/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</row>
    <row r="100" spans="1:23" ht="15.75" customHeight="1">
      <c r="A100" s="560" t="s">
        <v>4160</v>
      </c>
      <c r="B100" s="558">
        <v>12352</v>
      </c>
      <c r="C100" s="557" t="str">
        <f ca="1">IFERROR(__xludf.DUMMYFUNCTION("IF(COUNTA(filter(B:B,B:B=B100))=1,""Regular"",""Conta Repetida"")"),"Regular")</f>
        <v>Regular</v>
      </c>
      <c r="D100" s="559"/>
      <c r="E100" s="559"/>
      <c r="F100" s="559"/>
      <c r="G100" s="559"/>
      <c r="H100" s="559"/>
      <c r="I100" s="559"/>
      <c r="J100" s="559"/>
      <c r="K100" s="559"/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</row>
    <row r="101" spans="1:23" ht="15.75" customHeight="1">
      <c r="A101" s="560" t="s">
        <v>6333</v>
      </c>
      <c r="B101" s="558">
        <v>12353</v>
      </c>
      <c r="C101" s="557" t="str">
        <f ca="1">IFERROR(__xludf.DUMMYFUNCTION("IF(COUNTA(filter(B:B,B:B=B101))=1,""Regular"",""Conta Repetida"")"),"Regular")</f>
        <v>Regular</v>
      </c>
      <c r="D101" s="559"/>
      <c r="E101" s="559"/>
      <c r="F101" s="559"/>
      <c r="G101" s="559"/>
      <c r="H101" s="559"/>
      <c r="I101" s="559"/>
      <c r="J101" s="559"/>
      <c r="K101" s="559"/>
      <c r="L101" s="559"/>
      <c r="M101" s="559"/>
      <c r="N101" s="559"/>
      <c r="O101" s="559"/>
      <c r="P101" s="559"/>
      <c r="Q101" s="559"/>
      <c r="R101" s="559"/>
      <c r="S101" s="559"/>
      <c r="T101" s="559"/>
      <c r="U101" s="559"/>
      <c r="V101" s="559"/>
      <c r="W101" s="559"/>
    </row>
    <row r="102" spans="1:23" ht="15.75" customHeight="1">
      <c r="A102" s="558" t="s">
        <v>6334</v>
      </c>
      <c r="B102" s="558">
        <v>12354</v>
      </c>
      <c r="C102" s="557" t="str">
        <f ca="1">IFERROR(__xludf.DUMMYFUNCTION("IF(COUNTA(filter(B:B,B:B=B102))=1,""Regular"",""Conta Repetida"")"),"Regular")</f>
        <v>Regular</v>
      </c>
      <c r="D102" s="559"/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</row>
    <row r="103" spans="1:23" ht="15.75" customHeight="1">
      <c r="A103" s="560" t="s">
        <v>3344</v>
      </c>
      <c r="B103" s="558">
        <v>12355</v>
      </c>
      <c r="C103" s="557" t="str">
        <f ca="1">IFERROR(__xludf.DUMMYFUNCTION("IF(COUNTA(filter(B:B,B:B=B103))=1,""Regular"",""Conta Repetida"")"),"Regular")</f>
        <v>Regular</v>
      </c>
      <c r="D103" s="559"/>
      <c r="E103" s="559"/>
      <c r="F103" s="559"/>
      <c r="G103" s="559"/>
      <c r="H103" s="559"/>
      <c r="I103" s="559"/>
      <c r="J103" s="559"/>
      <c r="K103" s="559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</row>
    <row r="104" spans="1:23" ht="15.75" customHeight="1">
      <c r="A104" s="561" t="s">
        <v>3884</v>
      </c>
      <c r="B104" s="562">
        <v>12356</v>
      </c>
      <c r="C104" s="559" t="s">
        <v>6335</v>
      </c>
      <c r="D104" s="559"/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</row>
    <row r="105" spans="1:23" ht="15.75" customHeight="1">
      <c r="A105" s="563" t="s">
        <v>4593</v>
      </c>
      <c r="B105" s="562">
        <v>12357</v>
      </c>
      <c r="C105" s="559" t="s">
        <v>6335</v>
      </c>
      <c r="D105" s="559"/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</row>
    <row r="106" spans="1:23" ht="15.75" customHeight="1">
      <c r="A106" s="563" t="s">
        <v>4648</v>
      </c>
      <c r="B106" s="562">
        <v>12358</v>
      </c>
      <c r="C106" s="559" t="s">
        <v>6335</v>
      </c>
      <c r="D106" s="559"/>
      <c r="E106" s="559"/>
      <c r="F106" s="559"/>
      <c r="G106" s="559"/>
      <c r="H106" s="559"/>
      <c r="I106" s="559"/>
      <c r="J106" s="559"/>
      <c r="K106" s="559"/>
      <c r="L106" s="559"/>
      <c r="M106" s="559"/>
      <c r="N106" s="559"/>
      <c r="O106" s="559"/>
      <c r="P106" s="559"/>
      <c r="Q106" s="559"/>
      <c r="R106" s="559"/>
      <c r="S106" s="559"/>
      <c r="T106" s="559"/>
      <c r="U106" s="559"/>
      <c r="V106" s="559"/>
      <c r="W106" s="559"/>
    </row>
    <row r="107" spans="1:23" ht="15.75" customHeight="1">
      <c r="A107" s="561" t="s">
        <v>360</v>
      </c>
      <c r="B107" s="562">
        <v>12359</v>
      </c>
      <c r="C107" s="559" t="s">
        <v>6335</v>
      </c>
      <c r="D107" s="559"/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</row>
    <row r="108" spans="1:23" ht="15.75" customHeight="1">
      <c r="A108" s="561" t="s">
        <v>4926</v>
      </c>
      <c r="B108" s="562">
        <v>12360</v>
      </c>
      <c r="C108" s="559" t="s">
        <v>6335</v>
      </c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</row>
    <row r="109" spans="1:23" ht="15.75" customHeight="1">
      <c r="A109" s="563" t="s">
        <v>6336</v>
      </c>
      <c r="B109" s="562">
        <v>12361</v>
      </c>
      <c r="C109" s="559" t="s">
        <v>6335</v>
      </c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559"/>
      <c r="U109" s="559"/>
      <c r="V109" s="559"/>
      <c r="W109" s="559"/>
    </row>
    <row r="110" spans="1:23" ht="15.75" customHeight="1">
      <c r="A110" s="564" t="s">
        <v>606</v>
      </c>
      <c r="B110" s="562">
        <v>12362</v>
      </c>
      <c r="C110" s="559" t="s">
        <v>6335</v>
      </c>
      <c r="D110" s="559"/>
      <c r="E110" s="559"/>
      <c r="F110" s="559"/>
      <c r="G110" s="559"/>
      <c r="H110" s="559"/>
      <c r="I110" s="559"/>
      <c r="J110" s="559"/>
      <c r="K110" s="559"/>
      <c r="L110" s="559"/>
      <c r="M110" s="559"/>
      <c r="N110" s="559"/>
      <c r="O110" s="559"/>
      <c r="P110" s="559"/>
      <c r="Q110" s="559"/>
      <c r="R110" s="559"/>
      <c r="S110" s="559"/>
      <c r="T110" s="559"/>
      <c r="U110" s="559"/>
      <c r="V110" s="559"/>
      <c r="W110" s="559"/>
    </row>
    <row r="111" spans="1:23" ht="15.75" customHeight="1">
      <c r="A111" s="565" t="s">
        <v>3478</v>
      </c>
      <c r="B111" s="562">
        <v>12363</v>
      </c>
      <c r="C111" s="559" t="s">
        <v>6335</v>
      </c>
      <c r="D111" s="559"/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</row>
    <row r="112" spans="1:23" ht="15.75" customHeight="1">
      <c r="A112" s="559"/>
      <c r="B112" s="562"/>
      <c r="C112" s="559"/>
      <c r="D112" s="559"/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</row>
    <row r="113" spans="1:23" ht="15.75" customHeight="1">
      <c r="A113" s="559"/>
      <c r="B113" s="562"/>
      <c r="C113" s="559"/>
      <c r="D113" s="559"/>
      <c r="E113" s="559"/>
      <c r="F113" s="559"/>
      <c r="G113" s="559"/>
      <c r="H113" s="559"/>
      <c r="I113" s="559"/>
      <c r="J113" s="559"/>
      <c r="K113" s="559"/>
      <c r="L113" s="559"/>
      <c r="M113" s="559"/>
      <c r="N113" s="559"/>
      <c r="O113" s="559"/>
      <c r="P113" s="559"/>
      <c r="Q113" s="559"/>
      <c r="R113" s="559"/>
      <c r="S113" s="559"/>
      <c r="T113" s="559"/>
      <c r="U113" s="559"/>
      <c r="V113" s="559"/>
      <c r="W113" s="559"/>
    </row>
    <row r="114" spans="1:23" ht="15.75" customHeight="1">
      <c r="A114" s="559"/>
      <c r="B114" s="562"/>
      <c r="C114" s="559"/>
      <c r="D114" s="559"/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</row>
    <row r="115" spans="1:23" ht="15.75" customHeight="1">
      <c r="A115" s="559"/>
      <c r="B115" s="562"/>
      <c r="C115" s="55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</row>
    <row r="116" spans="1:23" ht="15.75" customHeight="1">
      <c r="A116" s="559"/>
      <c r="B116" s="562"/>
      <c r="C116" s="559"/>
      <c r="D116" s="559"/>
      <c r="E116" s="559"/>
      <c r="F116" s="559"/>
      <c r="G116" s="559"/>
      <c r="H116" s="559"/>
      <c r="I116" s="559"/>
      <c r="J116" s="559"/>
      <c r="K116" s="559"/>
      <c r="L116" s="559"/>
      <c r="M116" s="559"/>
      <c r="N116" s="559"/>
      <c r="O116" s="559"/>
      <c r="P116" s="559"/>
      <c r="Q116" s="559"/>
      <c r="R116" s="559"/>
      <c r="S116" s="559"/>
      <c r="T116" s="559"/>
      <c r="U116" s="559"/>
      <c r="V116" s="559"/>
      <c r="W116" s="559"/>
    </row>
    <row r="117" spans="1:23" ht="15.75" customHeight="1">
      <c r="A117" s="559"/>
      <c r="B117" s="562"/>
      <c r="C117" s="559"/>
      <c r="D117" s="559"/>
      <c r="E117" s="559"/>
      <c r="F117" s="559"/>
      <c r="G117" s="559"/>
      <c r="H117" s="559"/>
      <c r="I117" s="559"/>
      <c r="J117" s="559"/>
      <c r="K117" s="559"/>
      <c r="L117" s="559"/>
      <c r="M117" s="559"/>
      <c r="N117" s="559"/>
      <c r="O117" s="559"/>
      <c r="P117" s="559"/>
      <c r="Q117" s="559"/>
      <c r="R117" s="559"/>
      <c r="S117" s="559"/>
      <c r="T117" s="559"/>
      <c r="U117" s="559"/>
      <c r="V117" s="559"/>
      <c r="W117" s="559"/>
    </row>
    <row r="118" spans="1:23" ht="15.75" customHeight="1">
      <c r="A118" s="559"/>
      <c r="B118" s="562"/>
      <c r="C118" s="559"/>
      <c r="D118" s="559"/>
      <c r="E118" s="559"/>
      <c r="F118" s="559"/>
      <c r="G118" s="559"/>
      <c r="H118" s="559"/>
      <c r="I118" s="559"/>
      <c r="J118" s="559"/>
      <c r="K118" s="559"/>
      <c r="L118" s="559"/>
      <c r="M118" s="559"/>
      <c r="N118" s="559"/>
      <c r="O118" s="559"/>
      <c r="P118" s="559"/>
      <c r="Q118" s="559"/>
      <c r="R118" s="559"/>
      <c r="S118" s="559"/>
      <c r="T118" s="559"/>
      <c r="U118" s="559"/>
      <c r="V118" s="559"/>
      <c r="W118" s="559"/>
    </row>
    <row r="119" spans="1:23" ht="15.75" customHeight="1">
      <c r="A119" s="559"/>
      <c r="B119" s="562"/>
      <c r="C119" s="559"/>
      <c r="D119" s="559"/>
      <c r="E119" s="559"/>
      <c r="F119" s="559"/>
      <c r="G119" s="559"/>
      <c r="H119" s="559"/>
      <c r="I119" s="559"/>
      <c r="J119" s="559"/>
      <c r="K119" s="559"/>
      <c r="L119" s="559"/>
      <c r="M119" s="559"/>
      <c r="N119" s="559"/>
      <c r="O119" s="559"/>
      <c r="P119" s="559"/>
      <c r="Q119" s="559"/>
      <c r="R119" s="559"/>
      <c r="S119" s="559"/>
      <c r="T119" s="559"/>
      <c r="U119" s="559"/>
      <c r="V119" s="559"/>
      <c r="W119" s="559"/>
    </row>
    <row r="120" spans="1:23" ht="15.75" customHeight="1">
      <c r="A120" s="559"/>
      <c r="B120" s="562"/>
      <c r="C120" s="559"/>
      <c r="D120" s="559"/>
      <c r="E120" s="559"/>
      <c r="F120" s="559"/>
      <c r="G120" s="559"/>
      <c r="H120" s="559"/>
      <c r="I120" s="559"/>
      <c r="J120" s="559"/>
      <c r="K120" s="559"/>
      <c r="L120" s="559"/>
      <c r="M120" s="559"/>
      <c r="N120" s="559"/>
      <c r="O120" s="559"/>
      <c r="P120" s="559"/>
      <c r="Q120" s="559"/>
      <c r="R120" s="559"/>
      <c r="S120" s="559"/>
      <c r="T120" s="559"/>
      <c r="U120" s="559"/>
      <c r="V120" s="559"/>
      <c r="W120" s="559"/>
    </row>
    <row r="121" spans="1:23" ht="15.75" customHeight="1">
      <c r="A121" s="559"/>
      <c r="B121" s="562"/>
      <c r="C121" s="559"/>
      <c r="D121" s="559"/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</row>
    <row r="122" spans="1:23" ht="15.75" customHeight="1">
      <c r="A122" s="559"/>
      <c r="B122" s="562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</row>
    <row r="123" spans="1:23" ht="15.75" customHeight="1">
      <c r="A123" s="559"/>
      <c r="B123" s="562"/>
      <c r="C123" s="559"/>
      <c r="D123" s="559"/>
      <c r="E123" s="559"/>
      <c r="F123" s="559"/>
      <c r="G123" s="559"/>
      <c r="H123" s="559"/>
      <c r="I123" s="559"/>
      <c r="J123" s="559"/>
      <c r="K123" s="559"/>
      <c r="L123" s="559"/>
      <c r="M123" s="559"/>
      <c r="N123" s="559"/>
      <c r="O123" s="559"/>
      <c r="P123" s="559"/>
      <c r="Q123" s="559"/>
      <c r="R123" s="559"/>
      <c r="S123" s="559"/>
      <c r="T123" s="559"/>
      <c r="U123" s="559"/>
      <c r="V123" s="559"/>
      <c r="W123" s="559"/>
    </row>
    <row r="124" spans="1:23" ht="15.75" customHeight="1">
      <c r="A124" s="559"/>
      <c r="B124" s="562"/>
      <c r="C124" s="559"/>
      <c r="D124" s="559"/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</row>
    <row r="125" spans="1:23" ht="15.75" customHeight="1">
      <c r="A125" s="559"/>
      <c r="B125" s="562"/>
      <c r="C125" s="559"/>
      <c r="D125" s="559"/>
      <c r="E125" s="559"/>
      <c r="F125" s="559"/>
      <c r="G125" s="559"/>
      <c r="H125" s="559"/>
      <c r="I125" s="559"/>
      <c r="J125" s="559"/>
      <c r="K125" s="559"/>
      <c r="L125" s="559"/>
      <c r="M125" s="559"/>
      <c r="N125" s="559"/>
      <c r="O125" s="559"/>
      <c r="P125" s="559"/>
      <c r="Q125" s="559"/>
      <c r="R125" s="559"/>
      <c r="S125" s="559"/>
      <c r="T125" s="559"/>
      <c r="U125" s="559"/>
      <c r="V125" s="559"/>
      <c r="W125" s="559"/>
    </row>
    <row r="126" spans="1:23" ht="15.75" customHeight="1">
      <c r="A126" s="559"/>
      <c r="B126" s="562"/>
      <c r="C126" s="559"/>
      <c r="D126" s="559"/>
      <c r="E126" s="559"/>
      <c r="F126" s="559"/>
      <c r="G126" s="559"/>
      <c r="H126" s="559"/>
      <c r="I126" s="559"/>
      <c r="J126" s="559"/>
      <c r="K126" s="559"/>
      <c r="L126" s="559"/>
      <c r="M126" s="559"/>
      <c r="N126" s="559"/>
      <c r="O126" s="559"/>
      <c r="P126" s="559"/>
      <c r="Q126" s="559"/>
      <c r="R126" s="559"/>
      <c r="S126" s="559"/>
      <c r="T126" s="559"/>
      <c r="U126" s="559"/>
      <c r="V126" s="559"/>
      <c r="W126" s="559"/>
    </row>
    <row r="127" spans="1:23" ht="15.75" customHeight="1">
      <c r="A127" s="559"/>
      <c r="B127" s="562"/>
      <c r="C127" s="559"/>
      <c r="D127" s="559"/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</row>
    <row r="128" spans="1:23" ht="15.75" customHeight="1">
      <c r="A128" s="559"/>
      <c r="B128" s="562"/>
      <c r="C128" s="559"/>
      <c r="D128" s="559"/>
      <c r="E128" s="559"/>
      <c r="F128" s="559"/>
      <c r="G128" s="559"/>
      <c r="H128" s="559"/>
      <c r="I128" s="559"/>
      <c r="J128" s="559"/>
      <c r="K128" s="559"/>
      <c r="L128" s="559"/>
      <c r="M128" s="559"/>
      <c r="N128" s="559"/>
      <c r="O128" s="559"/>
      <c r="P128" s="559"/>
      <c r="Q128" s="559"/>
      <c r="R128" s="559"/>
      <c r="S128" s="559"/>
      <c r="T128" s="559"/>
      <c r="U128" s="559"/>
      <c r="V128" s="559"/>
      <c r="W128" s="559"/>
    </row>
    <row r="129" spans="1:23" ht="15.75" customHeight="1">
      <c r="A129" s="559"/>
      <c r="B129" s="562"/>
      <c r="C129" s="559"/>
      <c r="D129" s="559"/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</row>
    <row r="130" spans="1:23" ht="15.75" customHeight="1">
      <c r="A130" s="559"/>
      <c r="B130" s="562"/>
      <c r="C130" s="559"/>
      <c r="D130" s="559"/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</row>
    <row r="131" spans="1:23" ht="15.75" customHeight="1">
      <c r="A131" s="559"/>
      <c r="B131" s="562"/>
      <c r="C131" s="559"/>
      <c r="D131" s="559"/>
      <c r="E131" s="559"/>
      <c r="F131" s="559"/>
      <c r="G131" s="559"/>
      <c r="H131" s="559"/>
      <c r="I131" s="559"/>
      <c r="J131" s="559"/>
      <c r="K131" s="559"/>
      <c r="L131" s="559"/>
      <c r="M131" s="559"/>
      <c r="N131" s="559"/>
      <c r="O131" s="559"/>
      <c r="P131" s="559"/>
      <c r="Q131" s="559"/>
      <c r="R131" s="559"/>
      <c r="S131" s="559"/>
      <c r="T131" s="559"/>
      <c r="U131" s="559"/>
      <c r="V131" s="559"/>
      <c r="W131" s="559"/>
    </row>
    <row r="132" spans="1:23" ht="15.75" customHeight="1">
      <c r="A132" s="559"/>
      <c r="B132" s="562"/>
      <c r="C132" s="559"/>
      <c r="D132" s="559"/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</row>
    <row r="133" spans="1:23" ht="15.75" customHeight="1">
      <c r="A133" s="559"/>
      <c r="B133" s="562"/>
      <c r="C133" s="559"/>
      <c r="D133" s="559"/>
      <c r="E133" s="559"/>
      <c r="F133" s="559"/>
      <c r="G133" s="559"/>
      <c r="H133" s="559"/>
      <c r="I133" s="559"/>
      <c r="J133" s="559"/>
      <c r="K133" s="559"/>
      <c r="L133" s="559"/>
      <c r="M133" s="559"/>
      <c r="N133" s="559"/>
      <c r="O133" s="559"/>
      <c r="P133" s="559"/>
      <c r="Q133" s="559"/>
      <c r="R133" s="559"/>
      <c r="S133" s="559"/>
      <c r="T133" s="559"/>
      <c r="U133" s="559"/>
      <c r="V133" s="559"/>
      <c r="W133" s="559"/>
    </row>
    <row r="134" spans="1:23" ht="15.75" customHeight="1">
      <c r="A134" s="559"/>
      <c r="B134" s="562"/>
      <c r="C134" s="559"/>
      <c r="D134" s="559"/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</row>
    <row r="135" spans="1:23" ht="15.75" customHeight="1">
      <c r="A135" s="559"/>
      <c r="B135" s="562"/>
      <c r="C135" s="559"/>
      <c r="D135" s="559"/>
      <c r="E135" s="559"/>
      <c r="F135" s="559"/>
      <c r="G135" s="559"/>
      <c r="H135" s="559"/>
      <c r="I135" s="559"/>
      <c r="J135" s="559"/>
      <c r="K135" s="559"/>
      <c r="L135" s="559"/>
      <c r="M135" s="559"/>
      <c r="N135" s="559"/>
      <c r="O135" s="559"/>
      <c r="P135" s="559"/>
      <c r="Q135" s="559"/>
      <c r="R135" s="559"/>
      <c r="S135" s="559"/>
      <c r="T135" s="559"/>
      <c r="U135" s="559"/>
      <c r="V135" s="559"/>
      <c r="W135" s="559"/>
    </row>
    <row r="136" spans="1:23" ht="15.75" customHeight="1">
      <c r="A136" s="559"/>
      <c r="B136" s="562"/>
      <c r="C136" s="559"/>
      <c r="D136" s="559"/>
      <c r="E136" s="559"/>
      <c r="F136" s="559"/>
      <c r="G136" s="559"/>
      <c r="H136" s="559"/>
      <c r="I136" s="559"/>
      <c r="J136" s="559"/>
      <c r="K136" s="559"/>
      <c r="L136" s="559"/>
      <c r="M136" s="559"/>
      <c r="N136" s="559"/>
      <c r="O136" s="559"/>
      <c r="P136" s="559"/>
      <c r="Q136" s="559"/>
      <c r="R136" s="559"/>
      <c r="S136" s="559"/>
      <c r="T136" s="559"/>
      <c r="U136" s="559"/>
      <c r="V136" s="559"/>
      <c r="W136" s="559"/>
    </row>
    <row r="137" spans="1:23" ht="15.75" customHeight="1">
      <c r="A137" s="559"/>
      <c r="B137" s="562"/>
      <c r="C137" s="559"/>
      <c r="D137" s="559"/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</row>
    <row r="138" spans="1:23" ht="15.75" customHeight="1">
      <c r="A138" s="559"/>
      <c r="B138" s="562"/>
      <c r="C138" s="559"/>
      <c r="D138" s="559"/>
      <c r="E138" s="559"/>
      <c r="F138" s="559"/>
      <c r="G138" s="559"/>
      <c r="H138" s="559"/>
      <c r="I138" s="559"/>
      <c r="J138" s="559"/>
      <c r="K138" s="559"/>
      <c r="L138" s="559"/>
      <c r="M138" s="559"/>
      <c r="N138" s="559"/>
      <c r="O138" s="559"/>
      <c r="P138" s="559"/>
      <c r="Q138" s="559"/>
      <c r="R138" s="559"/>
      <c r="S138" s="559"/>
      <c r="T138" s="559"/>
      <c r="U138" s="559"/>
      <c r="V138" s="559"/>
      <c r="W138" s="559"/>
    </row>
    <row r="139" spans="1:23" ht="15.75" customHeight="1">
      <c r="A139" s="559"/>
      <c r="B139" s="562"/>
      <c r="C139" s="559"/>
      <c r="D139" s="559"/>
      <c r="E139" s="559"/>
      <c r="F139" s="559"/>
      <c r="G139" s="559"/>
      <c r="H139" s="559"/>
      <c r="I139" s="559"/>
      <c r="J139" s="559"/>
      <c r="K139" s="559"/>
      <c r="L139" s="559"/>
      <c r="M139" s="559"/>
      <c r="N139" s="559"/>
      <c r="O139" s="559"/>
      <c r="P139" s="559"/>
      <c r="Q139" s="559"/>
      <c r="R139" s="559"/>
      <c r="S139" s="559"/>
      <c r="T139" s="559"/>
      <c r="U139" s="559"/>
      <c r="V139" s="559"/>
      <c r="W139" s="559"/>
    </row>
    <row r="140" spans="1:23" ht="15.75" customHeight="1">
      <c r="A140" s="559"/>
      <c r="B140" s="562"/>
      <c r="C140" s="559"/>
      <c r="D140" s="559"/>
      <c r="E140" s="559"/>
      <c r="F140" s="559"/>
      <c r="G140" s="559"/>
      <c r="H140" s="559"/>
      <c r="I140" s="559"/>
      <c r="J140" s="559"/>
      <c r="K140" s="559"/>
      <c r="L140" s="559"/>
      <c r="M140" s="559"/>
      <c r="N140" s="559"/>
      <c r="O140" s="559"/>
      <c r="P140" s="559"/>
      <c r="Q140" s="559"/>
      <c r="R140" s="559"/>
      <c r="S140" s="559"/>
      <c r="T140" s="559"/>
      <c r="U140" s="559"/>
      <c r="V140" s="559"/>
      <c r="W140" s="559"/>
    </row>
    <row r="141" spans="1:23" ht="15.75" customHeight="1">
      <c r="A141" s="559"/>
      <c r="B141" s="562"/>
      <c r="C141" s="559"/>
      <c r="D141" s="559"/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</row>
    <row r="142" spans="1:23" ht="15.75" customHeight="1">
      <c r="A142" s="559"/>
      <c r="B142" s="562"/>
      <c r="C142" s="559"/>
      <c r="D142" s="559"/>
      <c r="E142" s="559"/>
      <c r="F142" s="559"/>
      <c r="G142" s="559"/>
      <c r="H142" s="559"/>
      <c r="I142" s="559"/>
      <c r="J142" s="559"/>
      <c r="K142" s="559"/>
      <c r="L142" s="559"/>
      <c r="M142" s="559"/>
      <c r="N142" s="559"/>
      <c r="O142" s="559"/>
      <c r="P142" s="559"/>
      <c r="Q142" s="559"/>
      <c r="R142" s="559"/>
      <c r="S142" s="559"/>
      <c r="T142" s="559"/>
      <c r="U142" s="559"/>
      <c r="V142" s="559"/>
      <c r="W142" s="559"/>
    </row>
    <row r="143" spans="1:23" ht="15.75" customHeight="1">
      <c r="A143" s="559"/>
      <c r="B143" s="562"/>
      <c r="C143" s="559"/>
      <c r="D143" s="559"/>
      <c r="E143" s="559"/>
      <c r="F143" s="559"/>
      <c r="G143" s="559"/>
      <c r="H143" s="559"/>
      <c r="I143" s="559"/>
      <c r="J143" s="559"/>
      <c r="K143" s="559"/>
      <c r="L143" s="559"/>
      <c r="M143" s="559"/>
      <c r="N143" s="559"/>
      <c r="O143" s="559"/>
      <c r="P143" s="559"/>
      <c r="Q143" s="559"/>
      <c r="R143" s="559"/>
      <c r="S143" s="559"/>
      <c r="T143" s="559"/>
      <c r="U143" s="559"/>
      <c r="V143" s="559"/>
      <c r="W143" s="559"/>
    </row>
    <row r="144" spans="1:23" ht="15.75" customHeight="1">
      <c r="A144" s="559"/>
      <c r="B144" s="562"/>
      <c r="C144" s="559"/>
      <c r="D144" s="559"/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</row>
    <row r="145" spans="1:23" ht="15.75" customHeight="1">
      <c r="A145" s="559"/>
      <c r="B145" s="562"/>
      <c r="C145" s="559"/>
      <c r="D145" s="559"/>
      <c r="E145" s="559"/>
      <c r="F145" s="559"/>
      <c r="G145" s="559"/>
      <c r="H145" s="559"/>
      <c r="I145" s="559"/>
      <c r="J145" s="559"/>
      <c r="K145" s="559"/>
      <c r="L145" s="559"/>
      <c r="M145" s="559"/>
      <c r="N145" s="559"/>
      <c r="O145" s="559"/>
      <c r="P145" s="559"/>
      <c r="Q145" s="559"/>
      <c r="R145" s="559"/>
      <c r="S145" s="559"/>
      <c r="T145" s="559"/>
      <c r="U145" s="559"/>
      <c r="V145" s="559"/>
      <c r="W145" s="559"/>
    </row>
    <row r="146" spans="1:23" ht="15.75" customHeight="1">
      <c r="A146" s="559"/>
      <c r="B146" s="562"/>
      <c r="C146" s="559"/>
      <c r="D146" s="559"/>
      <c r="E146" s="559"/>
      <c r="F146" s="559"/>
      <c r="G146" s="559"/>
      <c r="H146" s="559"/>
      <c r="I146" s="559"/>
      <c r="J146" s="559"/>
      <c r="K146" s="559"/>
      <c r="L146" s="559"/>
      <c r="M146" s="559"/>
      <c r="N146" s="559"/>
      <c r="O146" s="559"/>
      <c r="P146" s="559"/>
      <c r="Q146" s="559"/>
      <c r="R146" s="559"/>
      <c r="S146" s="559"/>
      <c r="T146" s="559"/>
      <c r="U146" s="559"/>
      <c r="V146" s="559"/>
      <c r="W146" s="559"/>
    </row>
    <row r="147" spans="1:23" ht="15.75" customHeight="1">
      <c r="A147" s="559"/>
      <c r="B147" s="562"/>
      <c r="C147" s="559"/>
      <c r="D147" s="559"/>
      <c r="E147" s="559"/>
      <c r="F147" s="559"/>
      <c r="G147" s="559"/>
      <c r="H147" s="559"/>
      <c r="I147" s="559"/>
      <c r="J147" s="559"/>
      <c r="K147" s="559"/>
      <c r="L147" s="559"/>
      <c r="M147" s="559"/>
      <c r="N147" s="559"/>
      <c r="O147" s="559"/>
      <c r="P147" s="559"/>
      <c r="Q147" s="559"/>
      <c r="R147" s="559"/>
      <c r="S147" s="559"/>
      <c r="T147" s="559"/>
      <c r="U147" s="559"/>
      <c r="V147" s="559"/>
      <c r="W147" s="559"/>
    </row>
    <row r="148" spans="1:23" ht="15.75" customHeight="1">
      <c r="A148" s="559"/>
      <c r="B148" s="562"/>
      <c r="C148" s="559"/>
      <c r="D148" s="559"/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</row>
    <row r="149" spans="1:23" ht="15.75" customHeight="1">
      <c r="A149" s="559"/>
      <c r="B149" s="562"/>
      <c r="C149" s="559"/>
      <c r="D149" s="559"/>
      <c r="E149" s="559"/>
      <c r="F149" s="559"/>
      <c r="G149" s="559"/>
      <c r="H149" s="559"/>
      <c r="I149" s="559"/>
      <c r="J149" s="559"/>
      <c r="K149" s="559"/>
      <c r="L149" s="559"/>
      <c r="M149" s="559"/>
      <c r="N149" s="559"/>
      <c r="O149" s="559"/>
      <c r="P149" s="559"/>
      <c r="Q149" s="559"/>
      <c r="R149" s="559"/>
      <c r="S149" s="559"/>
      <c r="T149" s="559"/>
      <c r="U149" s="559"/>
      <c r="V149" s="559"/>
      <c r="W149" s="559"/>
    </row>
    <row r="150" spans="1:23" ht="15.75" customHeight="1">
      <c r="A150" s="559"/>
      <c r="B150" s="562"/>
      <c r="C150" s="559"/>
      <c r="D150" s="559"/>
      <c r="E150" s="559"/>
      <c r="F150" s="559"/>
      <c r="G150" s="559"/>
      <c r="H150" s="559"/>
      <c r="I150" s="559"/>
      <c r="J150" s="559"/>
      <c r="K150" s="559"/>
      <c r="L150" s="559"/>
      <c r="M150" s="559"/>
      <c r="N150" s="559"/>
      <c r="O150" s="559"/>
      <c r="P150" s="559"/>
      <c r="Q150" s="559"/>
      <c r="R150" s="559"/>
      <c r="S150" s="559"/>
      <c r="T150" s="559"/>
      <c r="U150" s="559"/>
      <c r="V150" s="559"/>
      <c r="W150" s="559"/>
    </row>
    <row r="151" spans="1:23" ht="15.75" customHeight="1">
      <c r="A151" s="559"/>
      <c r="B151" s="562"/>
      <c r="C151" s="559"/>
      <c r="D151" s="559"/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</row>
    <row r="152" spans="1:23" ht="15.75" customHeight="1">
      <c r="A152" s="559"/>
      <c r="B152" s="562"/>
      <c r="C152" s="559"/>
      <c r="D152" s="559"/>
      <c r="E152" s="559"/>
      <c r="F152" s="559"/>
      <c r="G152" s="559"/>
      <c r="H152" s="559"/>
      <c r="I152" s="559"/>
      <c r="J152" s="559"/>
      <c r="K152" s="559"/>
      <c r="L152" s="559"/>
      <c r="M152" s="559"/>
      <c r="N152" s="559"/>
      <c r="O152" s="559"/>
      <c r="P152" s="559"/>
      <c r="Q152" s="559"/>
      <c r="R152" s="559"/>
      <c r="S152" s="559"/>
      <c r="T152" s="559"/>
      <c r="U152" s="559"/>
      <c r="V152" s="559"/>
      <c r="W152" s="559"/>
    </row>
    <row r="153" spans="1:23" ht="15.75" customHeight="1">
      <c r="A153" s="559"/>
      <c r="B153" s="562"/>
      <c r="C153" s="559"/>
      <c r="D153" s="559"/>
      <c r="E153" s="559"/>
      <c r="F153" s="559"/>
      <c r="G153" s="559"/>
      <c r="H153" s="559"/>
      <c r="I153" s="559"/>
      <c r="J153" s="559"/>
      <c r="K153" s="559"/>
      <c r="L153" s="559"/>
      <c r="M153" s="559"/>
      <c r="N153" s="559"/>
      <c r="O153" s="559"/>
      <c r="P153" s="559"/>
      <c r="Q153" s="559"/>
      <c r="R153" s="559"/>
      <c r="S153" s="559"/>
      <c r="T153" s="559"/>
      <c r="U153" s="559"/>
      <c r="V153" s="559"/>
      <c r="W153" s="559"/>
    </row>
    <row r="154" spans="1:23" ht="15.75" customHeight="1">
      <c r="A154" s="559"/>
      <c r="B154" s="562"/>
      <c r="C154" s="559"/>
      <c r="D154" s="559"/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</row>
    <row r="155" spans="1:23" ht="15.75" customHeight="1">
      <c r="A155" s="559"/>
      <c r="B155" s="562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9"/>
      <c r="T155" s="559"/>
      <c r="U155" s="559"/>
      <c r="V155" s="559"/>
      <c r="W155" s="559"/>
    </row>
    <row r="156" spans="1:23" ht="15.75" customHeight="1">
      <c r="A156" s="559"/>
      <c r="B156" s="562"/>
      <c r="C156" s="559"/>
      <c r="D156" s="559"/>
      <c r="E156" s="559"/>
      <c r="F156" s="559"/>
      <c r="G156" s="559"/>
      <c r="H156" s="559"/>
      <c r="I156" s="559"/>
      <c r="J156" s="559"/>
      <c r="K156" s="559"/>
      <c r="L156" s="559"/>
      <c r="M156" s="559"/>
      <c r="N156" s="559"/>
      <c r="O156" s="559"/>
      <c r="P156" s="559"/>
      <c r="Q156" s="559"/>
      <c r="R156" s="559"/>
      <c r="S156" s="559"/>
      <c r="T156" s="559"/>
      <c r="U156" s="559"/>
      <c r="V156" s="559"/>
      <c r="W156" s="559"/>
    </row>
    <row r="157" spans="1:23" ht="15.75" customHeight="1">
      <c r="A157" s="559"/>
      <c r="B157" s="562"/>
      <c r="C157" s="559"/>
      <c r="D157" s="559"/>
      <c r="E157" s="559"/>
      <c r="F157" s="559"/>
      <c r="G157" s="559"/>
      <c r="H157" s="559"/>
      <c r="I157" s="559"/>
      <c r="J157" s="559"/>
      <c r="K157" s="559"/>
      <c r="L157" s="559"/>
      <c r="M157" s="559"/>
      <c r="N157" s="559"/>
      <c r="O157" s="559"/>
      <c r="P157" s="559"/>
      <c r="Q157" s="559"/>
      <c r="R157" s="559"/>
      <c r="S157" s="559"/>
      <c r="T157" s="559"/>
      <c r="U157" s="559"/>
      <c r="V157" s="559"/>
      <c r="W157" s="559"/>
    </row>
    <row r="158" spans="1:23" ht="15.75" customHeight="1">
      <c r="A158" s="559"/>
      <c r="B158" s="562"/>
      <c r="C158" s="559"/>
      <c r="D158" s="559"/>
      <c r="E158" s="559"/>
      <c r="F158" s="559"/>
      <c r="G158" s="559"/>
      <c r="H158" s="559"/>
      <c r="I158" s="559"/>
      <c r="J158" s="559"/>
      <c r="K158" s="559"/>
      <c r="L158" s="559"/>
      <c r="M158" s="559"/>
      <c r="N158" s="559"/>
      <c r="O158" s="559"/>
      <c r="P158" s="559"/>
      <c r="Q158" s="559"/>
      <c r="R158" s="559"/>
      <c r="S158" s="559"/>
      <c r="T158" s="559"/>
      <c r="U158" s="559"/>
      <c r="V158" s="559"/>
      <c r="W158" s="559"/>
    </row>
    <row r="159" spans="1:23" ht="15.75" customHeight="1">
      <c r="A159" s="559"/>
      <c r="B159" s="562"/>
      <c r="C159" s="559"/>
      <c r="D159" s="559"/>
      <c r="E159" s="559"/>
      <c r="F159" s="559"/>
      <c r="G159" s="559"/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59"/>
      <c r="T159" s="559"/>
      <c r="U159" s="559"/>
      <c r="V159" s="559"/>
      <c r="W159" s="559"/>
    </row>
    <row r="160" spans="1:23" ht="15.75" customHeight="1">
      <c r="A160" s="559"/>
      <c r="B160" s="562"/>
      <c r="C160" s="559"/>
      <c r="D160" s="559"/>
      <c r="E160" s="559"/>
      <c r="F160" s="559"/>
      <c r="G160" s="559"/>
      <c r="H160" s="559"/>
      <c r="I160" s="559"/>
      <c r="J160" s="559"/>
      <c r="K160" s="559"/>
      <c r="L160" s="559"/>
      <c r="M160" s="559"/>
      <c r="N160" s="559"/>
      <c r="O160" s="559"/>
      <c r="P160" s="559"/>
      <c r="Q160" s="559"/>
      <c r="R160" s="559"/>
      <c r="S160" s="559"/>
      <c r="T160" s="559"/>
      <c r="U160" s="559"/>
      <c r="V160" s="559"/>
      <c r="W160" s="559"/>
    </row>
    <row r="161" spans="1:23" ht="15.75" customHeight="1">
      <c r="A161" s="559"/>
      <c r="B161" s="562"/>
      <c r="C161" s="559"/>
      <c r="D161" s="559"/>
      <c r="E161" s="559"/>
      <c r="F161" s="559"/>
      <c r="G161" s="559"/>
      <c r="H161" s="559"/>
      <c r="I161" s="559"/>
      <c r="J161" s="559"/>
      <c r="K161" s="559"/>
      <c r="L161" s="559"/>
      <c r="M161" s="559"/>
      <c r="N161" s="559"/>
      <c r="O161" s="559"/>
      <c r="P161" s="559"/>
      <c r="Q161" s="559"/>
      <c r="R161" s="559"/>
      <c r="S161" s="559"/>
      <c r="T161" s="559"/>
      <c r="U161" s="559"/>
      <c r="V161" s="559"/>
      <c r="W161" s="559"/>
    </row>
    <row r="162" spans="1:23" ht="15.75" customHeight="1">
      <c r="A162" s="559"/>
      <c r="B162" s="562"/>
      <c r="C162" s="559"/>
      <c r="D162" s="559"/>
      <c r="E162" s="559"/>
      <c r="F162" s="559"/>
      <c r="G162" s="559"/>
      <c r="H162" s="559"/>
      <c r="I162" s="559"/>
      <c r="J162" s="559"/>
      <c r="K162" s="559"/>
      <c r="L162" s="559"/>
      <c r="M162" s="559"/>
      <c r="N162" s="559"/>
      <c r="O162" s="559"/>
      <c r="P162" s="559"/>
      <c r="Q162" s="559"/>
      <c r="R162" s="559"/>
      <c r="S162" s="559"/>
      <c r="T162" s="559"/>
      <c r="U162" s="559"/>
      <c r="V162" s="559"/>
      <c r="W162" s="559"/>
    </row>
    <row r="163" spans="1:23" ht="15.75" customHeight="1">
      <c r="A163" s="559"/>
      <c r="B163" s="562"/>
      <c r="C163" s="559"/>
      <c r="D163" s="559"/>
      <c r="E163" s="559"/>
      <c r="F163" s="559"/>
      <c r="G163" s="559"/>
      <c r="H163" s="559"/>
      <c r="I163" s="559"/>
      <c r="J163" s="559"/>
      <c r="K163" s="559"/>
      <c r="L163" s="559"/>
      <c r="M163" s="559"/>
      <c r="N163" s="559"/>
      <c r="O163" s="559"/>
      <c r="P163" s="559"/>
      <c r="Q163" s="559"/>
      <c r="R163" s="559"/>
      <c r="S163" s="559"/>
      <c r="T163" s="559"/>
      <c r="U163" s="559"/>
      <c r="V163" s="559"/>
      <c r="W163" s="559"/>
    </row>
    <row r="164" spans="1:23" ht="15.75" customHeight="1">
      <c r="A164" s="559"/>
      <c r="B164" s="562"/>
      <c r="C164" s="559"/>
      <c r="D164" s="559"/>
      <c r="E164" s="559"/>
      <c r="F164" s="559"/>
      <c r="G164" s="559"/>
      <c r="H164" s="559"/>
      <c r="I164" s="559"/>
      <c r="J164" s="559"/>
      <c r="K164" s="559"/>
      <c r="L164" s="559"/>
      <c r="M164" s="559"/>
      <c r="N164" s="559"/>
      <c r="O164" s="559"/>
      <c r="P164" s="559"/>
      <c r="Q164" s="559"/>
      <c r="R164" s="559"/>
      <c r="S164" s="559"/>
      <c r="T164" s="559"/>
      <c r="U164" s="559"/>
      <c r="V164" s="559"/>
      <c r="W164" s="559"/>
    </row>
    <row r="165" spans="1:23" ht="15.75" customHeight="1">
      <c r="A165" s="559"/>
      <c r="B165" s="562"/>
      <c r="C165" s="559"/>
      <c r="D165" s="559"/>
      <c r="E165" s="559"/>
      <c r="F165" s="559"/>
      <c r="G165" s="559"/>
      <c r="H165" s="559"/>
      <c r="I165" s="559"/>
      <c r="J165" s="559"/>
      <c r="K165" s="559"/>
      <c r="L165" s="559"/>
      <c r="M165" s="559"/>
      <c r="N165" s="559"/>
      <c r="O165" s="559"/>
      <c r="P165" s="559"/>
      <c r="Q165" s="559"/>
      <c r="R165" s="559"/>
      <c r="S165" s="559"/>
      <c r="T165" s="559"/>
      <c r="U165" s="559"/>
      <c r="V165" s="559"/>
      <c r="W165" s="559"/>
    </row>
    <row r="166" spans="1:23" ht="15.75" customHeight="1">
      <c r="A166" s="559"/>
      <c r="B166" s="562"/>
      <c r="C166" s="559"/>
      <c r="D166" s="559"/>
      <c r="E166" s="559"/>
      <c r="F166" s="559"/>
      <c r="G166" s="559"/>
      <c r="H166" s="559"/>
      <c r="I166" s="559"/>
      <c r="J166" s="559"/>
      <c r="K166" s="559"/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</row>
    <row r="167" spans="1:23" ht="15.75" customHeight="1">
      <c r="A167" s="559"/>
      <c r="B167" s="562"/>
      <c r="C167" s="559"/>
      <c r="D167" s="559"/>
      <c r="E167" s="559"/>
      <c r="F167" s="559"/>
      <c r="G167" s="559"/>
      <c r="H167" s="559"/>
      <c r="I167" s="559"/>
      <c r="J167" s="559"/>
      <c r="K167" s="559"/>
      <c r="L167" s="559"/>
      <c r="M167" s="559"/>
      <c r="N167" s="559"/>
      <c r="O167" s="559"/>
      <c r="P167" s="559"/>
      <c r="Q167" s="559"/>
      <c r="R167" s="559"/>
      <c r="S167" s="559"/>
      <c r="T167" s="559"/>
      <c r="U167" s="559"/>
      <c r="V167" s="559"/>
      <c r="W167" s="559"/>
    </row>
    <row r="168" spans="1:23" ht="15.75" customHeight="1">
      <c r="A168" s="559"/>
      <c r="B168" s="562"/>
      <c r="C168" s="559"/>
      <c r="D168" s="559"/>
      <c r="E168" s="559"/>
      <c r="F168" s="559"/>
      <c r="G168" s="559"/>
      <c r="H168" s="559"/>
      <c r="I168" s="559"/>
      <c r="J168" s="559"/>
      <c r="K168" s="559"/>
      <c r="L168" s="559"/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59"/>
    </row>
    <row r="169" spans="1:23" ht="15.75" customHeight="1">
      <c r="A169" s="559"/>
      <c r="B169" s="562"/>
      <c r="C169" s="559"/>
      <c r="D169" s="559"/>
      <c r="E169" s="559"/>
      <c r="F169" s="559"/>
      <c r="G169" s="559"/>
      <c r="H169" s="559"/>
      <c r="I169" s="559"/>
      <c r="J169" s="559"/>
      <c r="K169" s="559"/>
      <c r="L169" s="559"/>
      <c r="M169" s="559"/>
      <c r="N169" s="559"/>
      <c r="O169" s="559"/>
      <c r="P169" s="559"/>
      <c r="Q169" s="559"/>
      <c r="R169" s="559"/>
      <c r="S169" s="559"/>
      <c r="T169" s="559"/>
      <c r="U169" s="559"/>
      <c r="V169" s="559"/>
      <c r="W169" s="559"/>
    </row>
    <row r="170" spans="1:23" ht="15.75" customHeight="1">
      <c r="A170" s="559"/>
      <c r="B170" s="562"/>
      <c r="C170" s="559"/>
      <c r="D170" s="559"/>
      <c r="E170" s="559"/>
      <c r="F170" s="559"/>
      <c r="G170" s="559"/>
      <c r="H170" s="559"/>
      <c r="I170" s="559"/>
      <c r="J170" s="559"/>
      <c r="K170" s="559"/>
      <c r="L170" s="559"/>
      <c r="M170" s="559"/>
      <c r="N170" s="559"/>
      <c r="O170" s="559"/>
      <c r="P170" s="559"/>
      <c r="Q170" s="559"/>
      <c r="R170" s="559"/>
      <c r="S170" s="559"/>
      <c r="T170" s="559"/>
      <c r="U170" s="559"/>
      <c r="V170" s="559"/>
      <c r="W170" s="559"/>
    </row>
    <row r="171" spans="1:23" ht="15.75" customHeight="1">
      <c r="A171" s="559"/>
      <c r="B171" s="562"/>
      <c r="C171" s="559"/>
      <c r="D171" s="559"/>
      <c r="E171" s="559"/>
      <c r="F171" s="559"/>
      <c r="G171" s="559"/>
      <c r="H171" s="559"/>
      <c r="I171" s="559"/>
      <c r="J171" s="559"/>
      <c r="K171" s="559"/>
      <c r="L171" s="559"/>
      <c r="M171" s="559"/>
      <c r="N171" s="559"/>
      <c r="O171" s="559"/>
      <c r="P171" s="559"/>
      <c r="Q171" s="559"/>
      <c r="R171" s="559"/>
      <c r="S171" s="559"/>
      <c r="T171" s="559"/>
      <c r="U171" s="559"/>
      <c r="V171" s="559"/>
      <c r="W171" s="559"/>
    </row>
    <row r="172" spans="1:23" ht="15.75" customHeight="1">
      <c r="A172" s="559"/>
      <c r="B172" s="562"/>
      <c r="C172" s="559"/>
      <c r="D172" s="559"/>
      <c r="E172" s="559"/>
      <c r="F172" s="559"/>
      <c r="G172" s="559"/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59"/>
      <c r="T172" s="559"/>
      <c r="U172" s="559"/>
      <c r="V172" s="559"/>
      <c r="W172" s="559"/>
    </row>
    <row r="173" spans="1:23" ht="15.75" customHeight="1">
      <c r="A173" s="559"/>
      <c r="B173" s="562"/>
      <c r="C173" s="559"/>
      <c r="D173" s="559"/>
      <c r="E173" s="559"/>
      <c r="F173" s="559"/>
      <c r="G173" s="559"/>
      <c r="H173" s="559"/>
      <c r="I173" s="559"/>
      <c r="J173" s="559"/>
      <c r="K173" s="559"/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</row>
    <row r="174" spans="1:23" ht="15.75" customHeight="1">
      <c r="A174" s="559"/>
      <c r="B174" s="562"/>
      <c r="C174" s="559"/>
      <c r="D174" s="559"/>
      <c r="E174" s="559"/>
      <c r="F174" s="559"/>
      <c r="G174" s="559"/>
      <c r="H174" s="559"/>
      <c r="I174" s="559"/>
      <c r="J174" s="559"/>
      <c r="K174" s="559"/>
      <c r="L174" s="559"/>
      <c r="M174" s="559"/>
      <c r="N174" s="559"/>
      <c r="O174" s="559"/>
      <c r="P174" s="559"/>
      <c r="Q174" s="559"/>
      <c r="R174" s="559"/>
      <c r="S174" s="559"/>
      <c r="T174" s="559"/>
      <c r="U174" s="559"/>
      <c r="V174" s="559"/>
      <c r="W174" s="559"/>
    </row>
    <row r="175" spans="1:23" ht="15.75" customHeight="1">
      <c r="A175" s="559"/>
      <c r="B175" s="562"/>
      <c r="C175" s="559"/>
      <c r="D175" s="559"/>
      <c r="E175" s="559"/>
      <c r="F175" s="559"/>
      <c r="G175" s="559"/>
      <c r="H175" s="559"/>
      <c r="I175" s="559"/>
      <c r="J175" s="559"/>
      <c r="K175" s="559"/>
      <c r="L175" s="559"/>
      <c r="M175" s="559"/>
      <c r="N175" s="559"/>
      <c r="O175" s="559"/>
      <c r="P175" s="559"/>
      <c r="Q175" s="559"/>
      <c r="R175" s="559"/>
      <c r="S175" s="559"/>
      <c r="T175" s="559"/>
      <c r="U175" s="559"/>
      <c r="V175" s="559"/>
      <c r="W175" s="559"/>
    </row>
    <row r="176" spans="1:23" ht="15.75" customHeight="1">
      <c r="A176" s="559"/>
      <c r="B176" s="562"/>
      <c r="C176" s="559"/>
      <c r="D176" s="559"/>
      <c r="E176" s="559"/>
      <c r="F176" s="559"/>
      <c r="G176" s="559"/>
      <c r="H176" s="559"/>
      <c r="I176" s="559"/>
      <c r="J176" s="559"/>
      <c r="K176" s="559"/>
      <c r="L176" s="559"/>
      <c r="M176" s="559"/>
      <c r="N176" s="559"/>
      <c r="O176" s="559"/>
      <c r="P176" s="559"/>
      <c r="Q176" s="559"/>
      <c r="R176" s="559"/>
      <c r="S176" s="559"/>
      <c r="T176" s="559"/>
      <c r="U176" s="559"/>
      <c r="V176" s="559"/>
      <c r="W176" s="559"/>
    </row>
    <row r="177" spans="1:23" ht="15.75" customHeight="1">
      <c r="A177" s="559"/>
      <c r="B177" s="562"/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</row>
    <row r="178" spans="1:23" ht="15.75" customHeight="1">
      <c r="A178" s="559"/>
      <c r="B178" s="562"/>
      <c r="C178" s="559"/>
      <c r="D178" s="559"/>
      <c r="E178" s="559"/>
      <c r="F178" s="559"/>
      <c r="G178" s="559"/>
      <c r="H178" s="559"/>
      <c r="I178" s="559"/>
      <c r="J178" s="559"/>
      <c r="K178" s="559"/>
      <c r="L178" s="559"/>
      <c r="M178" s="559"/>
      <c r="N178" s="559"/>
      <c r="O178" s="559"/>
      <c r="P178" s="559"/>
      <c r="Q178" s="559"/>
      <c r="R178" s="559"/>
      <c r="S178" s="559"/>
      <c r="T178" s="559"/>
      <c r="U178" s="559"/>
      <c r="V178" s="559"/>
      <c r="W178" s="559"/>
    </row>
    <row r="179" spans="1:23" ht="15.75" customHeight="1">
      <c r="A179" s="559"/>
      <c r="B179" s="562"/>
      <c r="C179" s="559"/>
      <c r="D179" s="559"/>
      <c r="E179" s="559"/>
      <c r="F179" s="559"/>
      <c r="G179" s="559"/>
      <c r="H179" s="559"/>
      <c r="I179" s="559"/>
      <c r="J179" s="559"/>
      <c r="K179" s="559"/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59"/>
    </row>
    <row r="180" spans="1:23" ht="15.75" customHeight="1">
      <c r="A180" s="559"/>
      <c r="B180" s="562"/>
      <c r="C180" s="559"/>
      <c r="D180" s="559"/>
      <c r="E180" s="559"/>
      <c r="F180" s="559"/>
      <c r="G180" s="559"/>
      <c r="H180" s="559"/>
      <c r="I180" s="559"/>
      <c r="J180" s="559"/>
      <c r="K180" s="559"/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59"/>
      <c r="W180" s="559"/>
    </row>
    <row r="181" spans="1:23" ht="15.75" customHeight="1">
      <c r="A181" s="559"/>
      <c r="B181" s="562"/>
      <c r="C181" s="559"/>
      <c r="D181" s="559"/>
      <c r="E181" s="559"/>
      <c r="F181" s="559"/>
      <c r="G181" s="559"/>
      <c r="H181" s="559"/>
      <c r="I181" s="559"/>
      <c r="J181" s="559"/>
      <c r="K181" s="559"/>
      <c r="L181" s="559"/>
      <c r="M181" s="559"/>
      <c r="N181" s="559"/>
      <c r="O181" s="559"/>
      <c r="P181" s="559"/>
      <c r="Q181" s="559"/>
      <c r="R181" s="559"/>
      <c r="S181" s="559"/>
      <c r="T181" s="559"/>
      <c r="U181" s="559"/>
      <c r="V181" s="559"/>
      <c r="W181" s="559"/>
    </row>
    <row r="182" spans="1:23" ht="15.75" customHeight="1">
      <c r="A182" s="559"/>
      <c r="B182" s="562"/>
      <c r="C182" s="559"/>
      <c r="D182" s="559"/>
      <c r="E182" s="559"/>
      <c r="F182" s="559"/>
      <c r="G182" s="559"/>
      <c r="H182" s="559"/>
      <c r="I182" s="559"/>
      <c r="J182" s="559"/>
      <c r="K182" s="559"/>
      <c r="L182" s="559"/>
      <c r="M182" s="559"/>
      <c r="N182" s="559"/>
      <c r="O182" s="559"/>
      <c r="P182" s="559"/>
      <c r="Q182" s="559"/>
      <c r="R182" s="559"/>
      <c r="S182" s="559"/>
      <c r="T182" s="559"/>
      <c r="U182" s="559"/>
      <c r="V182" s="559"/>
      <c r="W182" s="559"/>
    </row>
    <row r="183" spans="1:23" ht="15.75" customHeight="1">
      <c r="A183" s="559"/>
      <c r="B183" s="562"/>
      <c r="C183" s="559"/>
      <c r="D183" s="559"/>
      <c r="E183" s="559"/>
      <c r="F183" s="559"/>
      <c r="G183" s="559"/>
      <c r="H183" s="559"/>
      <c r="I183" s="559"/>
      <c r="J183" s="559"/>
      <c r="K183" s="559"/>
      <c r="L183" s="559"/>
      <c r="M183" s="559"/>
      <c r="N183" s="559"/>
      <c r="O183" s="559"/>
      <c r="P183" s="559"/>
      <c r="Q183" s="559"/>
      <c r="R183" s="559"/>
      <c r="S183" s="559"/>
      <c r="T183" s="559"/>
      <c r="U183" s="559"/>
      <c r="V183" s="559"/>
      <c r="W183" s="559"/>
    </row>
    <row r="184" spans="1:23" ht="15.75" customHeight="1">
      <c r="A184" s="559"/>
      <c r="B184" s="562"/>
      <c r="C184" s="559"/>
      <c r="D184" s="559"/>
      <c r="E184" s="559"/>
      <c r="F184" s="559"/>
      <c r="G184" s="559"/>
      <c r="H184" s="559"/>
      <c r="I184" s="559"/>
      <c r="J184" s="559"/>
      <c r="K184" s="559"/>
      <c r="L184" s="559"/>
      <c r="M184" s="559"/>
      <c r="N184" s="559"/>
      <c r="O184" s="559"/>
      <c r="P184" s="559"/>
      <c r="Q184" s="559"/>
      <c r="R184" s="559"/>
      <c r="S184" s="559"/>
      <c r="T184" s="559"/>
      <c r="U184" s="559"/>
      <c r="V184" s="559"/>
      <c r="W184" s="559"/>
    </row>
    <row r="185" spans="1:23" ht="15.75" customHeight="1">
      <c r="A185" s="559"/>
      <c r="B185" s="562"/>
      <c r="C185" s="559"/>
      <c r="D185" s="559"/>
      <c r="E185" s="559"/>
      <c r="F185" s="559"/>
      <c r="G185" s="559"/>
      <c r="H185" s="559"/>
      <c r="I185" s="559"/>
      <c r="J185" s="559"/>
      <c r="K185" s="559"/>
      <c r="L185" s="559"/>
      <c r="M185" s="559"/>
      <c r="N185" s="559"/>
      <c r="O185" s="559"/>
      <c r="P185" s="559"/>
      <c r="Q185" s="559"/>
      <c r="R185" s="559"/>
      <c r="S185" s="559"/>
      <c r="T185" s="559"/>
      <c r="U185" s="559"/>
      <c r="V185" s="559"/>
      <c r="W185" s="559"/>
    </row>
    <row r="186" spans="1:23" ht="15.75" customHeight="1">
      <c r="A186" s="559"/>
      <c r="B186" s="562"/>
      <c r="C186" s="559"/>
      <c r="D186" s="559"/>
      <c r="E186" s="559"/>
      <c r="F186" s="559"/>
      <c r="G186" s="559"/>
      <c r="H186" s="559"/>
      <c r="I186" s="559"/>
      <c r="J186" s="559"/>
      <c r="K186" s="559"/>
      <c r="L186" s="559"/>
      <c r="M186" s="559"/>
      <c r="N186" s="559"/>
      <c r="O186" s="559"/>
      <c r="P186" s="559"/>
      <c r="Q186" s="559"/>
      <c r="R186" s="559"/>
      <c r="S186" s="559"/>
      <c r="T186" s="559"/>
      <c r="U186" s="559"/>
      <c r="V186" s="559"/>
      <c r="W186" s="559"/>
    </row>
    <row r="187" spans="1:23" ht="15.75" customHeight="1">
      <c r="A187" s="559"/>
      <c r="B187" s="562"/>
      <c r="C187" s="559"/>
      <c r="D187" s="559"/>
      <c r="E187" s="559"/>
      <c r="F187" s="559"/>
      <c r="G187" s="559"/>
      <c r="H187" s="559"/>
      <c r="I187" s="559"/>
      <c r="J187" s="559"/>
      <c r="K187" s="559"/>
      <c r="L187" s="559"/>
      <c r="M187" s="559"/>
      <c r="N187" s="559"/>
      <c r="O187" s="559"/>
      <c r="P187" s="559"/>
      <c r="Q187" s="559"/>
      <c r="R187" s="559"/>
      <c r="S187" s="559"/>
      <c r="T187" s="559"/>
      <c r="U187" s="559"/>
      <c r="V187" s="559"/>
      <c r="W187" s="559"/>
    </row>
    <row r="188" spans="1:23" ht="15.75" customHeight="1">
      <c r="A188" s="559"/>
      <c r="B188" s="562"/>
      <c r="C188" s="559"/>
      <c r="D188" s="559"/>
      <c r="E188" s="559"/>
      <c r="F188" s="559"/>
      <c r="G188" s="559"/>
      <c r="H188" s="559"/>
      <c r="I188" s="559"/>
      <c r="J188" s="559"/>
      <c r="K188" s="559"/>
      <c r="L188" s="559"/>
      <c r="M188" s="559"/>
      <c r="N188" s="559"/>
      <c r="O188" s="559"/>
      <c r="P188" s="559"/>
      <c r="Q188" s="559"/>
      <c r="R188" s="559"/>
      <c r="S188" s="559"/>
      <c r="T188" s="559"/>
      <c r="U188" s="559"/>
      <c r="V188" s="559"/>
      <c r="W188" s="559"/>
    </row>
    <row r="189" spans="1:23" ht="15.75" customHeight="1">
      <c r="A189" s="559"/>
      <c r="B189" s="562"/>
      <c r="C189" s="559"/>
      <c r="D189" s="559"/>
      <c r="E189" s="559"/>
      <c r="F189" s="559"/>
      <c r="G189" s="559"/>
      <c r="H189" s="559"/>
      <c r="I189" s="559"/>
      <c r="J189" s="559"/>
      <c r="K189" s="559"/>
      <c r="L189" s="559"/>
      <c r="M189" s="559"/>
      <c r="N189" s="559"/>
      <c r="O189" s="559"/>
      <c r="P189" s="559"/>
      <c r="Q189" s="559"/>
      <c r="R189" s="559"/>
      <c r="S189" s="559"/>
      <c r="T189" s="559"/>
      <c r="U189" s="559"/>
      <c r="V189" s="559"/>
      <c r="W189" s="559"/>
    </row>
    <row r="190" spans="1:23" ht="15.75" customHeight="1">
      <c r="A190" s="559"/>
      <c r="B190" s="562"/>
      <c r="C190" s="559"/>
      <c r="D190" s="559"/>
      <c r="E190" s="559"/>
      <c r="F190" s="559"/>
      <c r="G190" s="559"/>
      <c r="H190" s="559"/>
      <c r="I190" s="559"/>
      <c r="J190" s="559"/>
      <c r="K190" s="559"/>
      <c r="L190" s="559"/>
      <c r="M190" s="559"/>
      <c r="N190" s="559"/>
      <c r="O190" s="559"/>
      <c r="P190" s="559"/>
      <c r="Q190" s="559"/>
      <c r="R190" s="559"/>
      <c r="S190" s="559"/>
      <c r="T190" s="559"/>
      <c r="U190" s="559"/>
      <c r="V190" s="559"/>
      <c r="W190" s="559"/>
    </row>
    <row r="191" spans="1:23" ht="15.75" customHeight="1">
      <c r="A191" s="559"/>
      <c r="B191" s="562"/>
      <c r="C191" s="559"/>
      <c r="D191" s="559"/>
      <c r="E191" s="559"/>
      <c r="F191" s="559"/>
      <c r="G191" s="559"/>
      <c r="H191" s="559"/>
      <c r="I191" s="559"/>
      <c r="J191" s="559"/>
      <c r="K191" s="559"/>
      <c r="L191" s="559"/>
      <c r="M191" s="559"/>
      <c r="N191" s="559"/>
      <c r="O191" s="559"/>
      <c r="P191" s="559"/>
      <c r="Q191" s="559"/>
      <c r="R191" s="559"/>
      <c r="S191" s="559"/>
      <c r="T191" s="559"/>
      <c r="U191" s="559"/>
      <c r="V191" s="559"/>
      <c r="W191" s="559"/>
    </row>
    <row r="192" spans="1:23" ht="15.75" customHeight="1">
      <c r="A192" s="559"/>
      <c r="B192" s="562"/>
      <c r="C192" s="559"/>
      <c r="D192" s="559"/>
      <c r="E192" s="559"/>
      <c r="F192" s="559"/>
      <c r="G192" s="559"/>
      <c r="H192" s="559"/>
      <c r="I192" s="559"/>
      <c r="J192" s="559"/>
      <c r="K192" s="559"/>
      <c r="L192" s="559"/>
      <c r="M192" s="559"/>
      <c r="N192" s="559"/>
      <c r="O192" s="559"/>
      <c r="P192" s="559"/>
      <c r="Q192" s="559"/>
      <c r="R192" s="559"/>
      <c r="S192" s="559"/>
      <c r="T192" s="559"/>
      <c r="U192" s="559"/>
      <c r="V192" s="559"/>
      <c r="W192" s="559"/>
    </row>
    <row r="193" spans="1:23" ht="15.75" customHeight="1">
      <c r="A193" s="559"/>
      <c r="B193" s="562"/>
      <c r="C193" s="559"/>
      <c r="D193" s="559"/>
      <c r="E193" s="559"/>
      <c r="F193" s="559"/>
      <c r="G193" s="559"/>
      <c r="H193" s="559"/>
      <c r="I193" s="559"/>
      <c r="J193" s="559"/>
      <c r="K193" s="559"/>
      <c r="L193" s="559"/>
      <c r="M193" s="559"/>
      <c r="N193" s="559"/>
      <c r="O193" s="559"/>
      <c r="P193" s="559"/>
      <c r="Q193" s="559"/>
      <c r="R193" s="559"/>
      <c r="S193" s="559"/>
      <c r="T193" s="559"/>
      <c r="U193" s="559"/>
      <c r="V193" s="559"/>
      <c r="W193" s="559"/>
    </row>
    <row r="194" spans="1:23" ht="15.75" customHeight="1">
      <c r="A194" s="559"/>
      <c r="B194" s="562"/>
      <c r="C194" s="559"/>
      <c r="D194" s="559"/>
      <c r="E194" s="559"/>
      <c r="F194" s="559"/>
      <c r="G194" s="559"/>
      <c r="H194" s="559"/>
      <c r="I194" s="559"/>
      <c r="J194" s="559"/>
      <c r="K194" s="559"/>
      <c r="L194" s="559"/>
      <c r="M194" s="559"/>
      <c r="N194" s="559"/>
      <c r="O194" s="559"/>
      <c r="P194" s="559"/>
      <c r="Q194" s="559"/>
      <c r="R194" s="559"/>
      <c r="S194" s="559"/>
      <c r="T194" s="559"/>
      <c r="U194" s="559"/>
      <c r="V194" s="559"/>
      <c r="W194" s="559"/>
    </row>
    <row r="195" spans="1:23" ht="15.75" customHeight="1">
      <c r="A195" s="559"/>
      <c r="B195" s="562"/>
      <c r="C195" s="559"/>
      <c r="D195" s="559"/>
      <c r="E195" s="559"/>
      <c r="F195" s="559"/>
      <c r="G195" s="559"/>
      <c r="H195" s="559"/>
      <c r="I195" s="559"/>
      <c r="J195" s="559"/>
      <c r="K195" s="559"/>
      <c r="L195" s="559"/>
      <c r="M195" s="559"/>
      <c r="N195" s="559"/>
      <c r="O195" s="559"/>
      <c r="P195" s="559"/>
      <c r="Q195" s="559"/>
      <c r="R195" s="559"/>
      <c r="S195" s="559"/>
      <c r="T195" s="559"/>
      <c r="U195" s="559"/>
      <c r="V195" s="559"/>
      <c r="W195" s="559"/>
    </row>
    <row r="196" spans="1:23" ht="15.75" customHeight="1">
      <c r="A196" s="559"/>
      <c r="B196" s="562"/>
      <c r="C196" s="559"/>
      <c r="D196" s="559"/>
      <c r="E196" s="559"/>
      <c r="F196" s="559"/>
      <c r="G196" s="559"/>
      <c r="H196" s="559"/>
      <c r="I196" s="559"/>
      <c r="J196" s="559"/>
      <c r="K196" s="559"/>
      <c r="L196" s="559"/>
      <c r="M196" s="559"/>
      <c r="N196" s="559"/>
      <c r="O196" s="559"/>
      <c r="P196" s="559"/>
      <c r="Q196" s="559"/>
      <c r="R196" s="559"/>
      <c r="S196" s="559"/>
      <c r="T196" s="559"/>
      <c r="U196" s="559"/>
      <c r="V196" s="559"/>
      <c r="W196" s="559"/>
    </row>
    <row r="197" spans="1:23" ht="15.75" customHeight="1">
      <c r="A197" s="559"/>
      <c r="B197" s="562"/>
      <c r="C197" s="559"/>
      <c r="D197" s="559"/>
      <c r="E197" s="559"/>
      <c r="F197" s="559"/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559"/>
      <c r="R197" s="559"/>
      <c r="S197" s="559"/>
      <c r="T197" s="559"/>
      <c r="U197" s="559"/>
      <c r="V197" s="559"/>
      <c r="W197" s="559"/>
    </row>
    <row r="198" spans="1:23" ht="15.75" customHeight="1">
      <c r="A198" s="559"/>
      <c r="B198" s="562"/>
      <c r="C198" s="559"/>
      <c r="D198" s="559"/>
      <c r="E198" s="559"/>
      <c r="F198" s="55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559"/>
      <c r="R198" s="559"/>
      <c r="S198" s="559"/>
      <c r="T198" s="559"/>
      <c r="U198" s="559"/>
      <c r="V198" s="559"/>
      <c r="W198" s="559"/>
    </row>
    <row r="199" spans="1:23" ht="15.75" customHeight="1">
      <c r="A199" s="559"/>
      <c r="B199" s="562"/>
      <c r="C199" s="559"/>
      <c r="D199" s="559"/>
      <c r="E199" s="559"/>
      <c r="F199" s="559"/>
      <c r="G199" s="559"/>
      <c r="H199" s="559"/>
      <c r="I199" s="559"/>
      <c r="J199" s="559"/>
      <c r="K199" s="559"/>
      <c r="L199" s="559"/>
      <c r="M199" s="559"/>
      <c r="N199" s="559"/>
      <c r="O199" s="559"/>
      <c r="P199" s="559"/>
      <c r="Q199" s="559"/>
      <c r="R199" s="559"/>
      <c r="S199" s="559"/>
      <c r="T199" s="559"/>
      <c r="U199" s="559"/>
      <c r="V199" s="559"/>
      <c r="W199" s="559"/>
    </row>
    <row r="200" spans="1:23" ht="15.75" customHeight="1">
      <c r="A200" s="559"/>
      <c r="B200" s="562"/>
      <c r="C200" s="559"/>
      <c r="D200" s="559"/>
      <c r="E200" s="559"/>
      <c r="F200" s="559"/>
      <c r="G200" s="559"/>
      <c r="H200" s="559"/>
      <c r="I200" s="559"/>
      <c r="J200" s="559"/>
      <c r="K200" s="559"/>
      <c r="L200" s="559"/>
      <c r="M200" s="559"/>
      <c r="N200" s="559"/>
      <c r="O200" s="559"/>
      <c r="P200" s="559"/>
      <c r="Q200" s="559"/>
      <c r="R200" s="559"/>
      <c r="S200" s="559"/>
      <c r="T200" s="559"/>
      <c r="U200" s="559"/>
      <c r="V200" s="559"/>
      <c r="W200" s="55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6" t="s">
        <v>6337</v>
      </c>
      <c r="B1" s="567" t="s">
        <v>1</v>
      </c>
      <c r="C1" s="566" t="s">
        <v>2</v>
      </c>
      <c r="D1" s="566" t="s">
        <v>6338</v>
      </c>
      <c r="E1" s="568" t="s">
        <v>5419</v>
      </c>
      <c r="F1" s="566" t="s">
        <v>6063</v>
      </c>
      <c r="G1" s="566" t="s">
        <v>3</v>
      </c>
      <c r="H1" s="566" t="s">
        <v>4</v>
      </c>
      <c r="I1" s="566" t="s">
        <v>5</v>
      </c>
      <c r="J1" s="569" t="s">
        <v>84</v>
      </c>
      <c r="K1" s="566" t="s">
        <v>8</v>
      </c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  <c r="AB1" s="570"/>
      <c r="AC1" s="570"/>
      <c r="AD1" s="570"/>
      <c r="AE1" s="570"/>
    </row>
    <row r="2" spans="1:31" ht="15.75" customHeight="1">
      <c r="A2" s="571">
        <v>43768</v>
      </c>
      <c r="B2" s="572" t="s">
        <v>6339</v>
      </c>
      <c r="C2" s="561" t="s">
        <v>2929</v>
      </c>
      <c r="D2" s="561" t="s">
        <v>956</v>
      </c>
      <c r="E2" s="573">
        <v>0</v>
      </c>
      <c r="F2" s="561" t="s">
        <v>3018</v>
      </c>
      <c r="G2" s="571" t="s">
        <v>2931</v>
      </c>
      <c r="H2" s="571" t="s">
        <v>20</v>
      </c>
      <c r="I2" s="571" t="s">
        <v>2932</v>
      </c>
      <c r="J2" s="571">
        <v>43567</v>
      </c>
      <c r="K2" s="574" t="s">
        <v>3817</v>
      </c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  <c r="AB2" s="570"/>
      <c r="AC2" s="570"/>
      <c r="AD2" s="570"/>
      <c r="AE2" s="570"/>
    </row>
    <row r="3" spans="1:31" ht="15.75" customHeight="1">
      <c r="A3" s="571">
        <v>43782</v>
      </c>
      <c r="B3" s="572" t="s">
        <v>6340</v>
      </c>
      <c r="C3" s="561" t="s">
        <v>2929</v>
      </c>
      <c r="D3" s="561" t="s">
        <v>956</v>
      </c>
      <c r="E3" s="573">
        <v>0</v>
      </c>
      <c r="F3" s="561" t="s">
        <v>3296</v>
      </c>
      <c r="G3" s="571" t="s">
        <v>2931</v>
      </c>
      <c r="H3" s="571" t="s">
        <v>20</v>
      </c>
      <c r="I3" s="571" t="s">
        <v>2938</v>
      </c>
      <c r="J3" s="571">
        <v>43567</v>
      </c>
      <c r="K3" s="574" t="s">
        <v>4196</v>
      </c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</row>
    <row r="4" spans="1:31" ht="15.75" customHeight="1">
      <c r="A4" s="571">
        <v>43862</v>
      </c>
      <c r="B4" s="572" t="s">
        <v>6341</v>
      </c>
      <c r="C4" s="561" t="s">
        <v>2929</v>
      </c>
      <c r="D4" s="561" t="s">
        <v>956</v>
      </c>
      <c r="E4" s="573">
        <v>0</v>
      </c>
      <c r="F4" s="561" t="s">
        <v>3549</v>
      </c>
      <c r="G4" s="571" t="s">
        <v>19</v>
      </c>
      <c r="H4" s="571" t="s">
        <v>20</v>
      </c>
      <c r="I4" s="571" t="s">
        <v>3080</v>
      </c>
      <c r="J4" s="571">
        <v>43461</v>
      </c>
      <c r="K4" s="574" t="s">
        <v>4196</v>
      </c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</row>
    <row r="5" spans="1:31" ht="15.75" customHeight="1">
      <c r="A5" s="575">
        <v>43893</v>
      </c>
      <c r="B5" s="576" t="s">
        <v>6342</v>
      </c>
      <c r="C5" s="405" t="s">
        <v>2929</v>
      </c>
      <c r="D5" s="561" t="s">
        <v>6343</v>
      </c>
      <c r="E5" s="573">
        <v>25000</v>
      </c>
      <c r="F5" s="561" t="s">
        <v>3475</v>
      </c>
      <c r="G5" s="571" t="s">
        <v>2931</v>
      </c>
      <c r="H5" s="571" t="s">
        <v>20</v>
      </c>
      <c r="I5" s="571" t="s">
        <v>2932</v>
      </c>
      <c r="J5" s="571">
        <v>43675</v>
      </c>
      <c r="K5" s="574" t="s">
        <v>4196</v>
      </c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</row>
    <row r="6" spans="1:31" ht="15.75" customHeight="1">
      <c r="A6" s="575">
        <v>43893</v>
      </c>
      <c r="B6" s="576" t="s">
        <v>6344</v>
      </c>
      <c r="C6" s="405" t="s">
        <v>2929</v>
      </c>
      <c r="D6" s="561" t="s">
        <v>6343</v>
      </c>
      <c r="E6" s="573">
        <v>6000</v>
      </c>
      <c r="F6" s="561" t="s">
        <v>2268</v>
      </c>
      <c r="G6" s="571" t="s">
        <v>2931</v>
      </c>
      <c r="H6" s="571" t="s">
        <v>20</v>
      </c>
      <c r="I6" s="571" t="s">
        <v>2938</v>
      </c>
      <c r="J6" s="571">
        <v>43620</v>
      </c>
      <c r="K6" s="574" t="s">
        <v>3803</v>
      </c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  <c r="AB6" s="570"/>
      <c r="AC6" s="570"/>
      <c r="AD6" s="570"/>
      <c r="AE6" s="570"/>
    </row>
    <row r="7" spans="1:31" ht="15.75" customHeight="1">
      <c r="A7" s="575">
        <v>43894</v>
      </c>
      <c r="B7" s="576" t="s">
        <v>6345</v>
      </c>
      <c r="C7" s="405" t="s">
        <v>3793</v>
      </c>
      <c r="D7" s="561" t="s">
        <v>6343</v>
      </c>
      <c r="E7" s="573">
        <v>50000</v>
      </c>
      <c r="F7" s="561" t="s">
        <v>5056</v>
      </c>
      <c r="G7" s="561" t="s">
        <v>2931</v>
      </c>
      <c r="H7" s="561" t="s">
        <v>20</v>
      </c>
      <c r="I7" s="561" t="s">
        <v>2931</v>
      </c>
      <c r="J7" s="571">
        <v>43749</v>
      </c>
      <c r="K7" s="577" t="s">
        <v>4196</v>
      </c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</row>
    <row r="8" spans="1:31" ht="15.75" customHeight="1">
      <c r="A8" s="575">
        <v>43894</v>
      </c>
      <c r="B8" s="576" t="s">
        <v>6342</v>
      </c>
      <c r="C8" s="405" t="s">
        <v>2929</v>
      </c>
      <c r="D8" s="561" t="s">
        <v>6343</v>
      </c>
      <c r="E8" s="573">
        <v>9500</v>
      </c>
      <c r="F8" s="561" t="s">
        <v>3475</v>
      </c>
      <c r="G8" s="571" t="s">
        <v>2931</v>
      </c>
      <c r="H8" s="571" t="s">
        <v>20</v>
      </c>
      <c r="I8" s="571" t="s">
        <v>2932</v>
      </c>
      <c r="J8" s="571">
        <v>43675</v>
      </c>
      <c r="K8" s="574" t="s">
        <v>4196</v>
      </c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  <c r="AB8" s="570"/>
      <c r="AC8" s="570"/>
      <c r="AD8" s="570"/>
      <c r="AE8" s="570"/>
    </row>
    <row r="9" spans="1:31" ht="15.75" customHeight="1">
      <c r="A9" s="575">
        <v>43894</v>
      </c>
      <c r="B9" s="576" t="s">
        <v>6346</v>
      </c>
      <c r="C9" s="405" t="s">
        <v>2929</v>
      </c>
      <c r="D9" s="561" t="s">
        <v>6343</v>
      </c>
      <c r="E9" s="573">
        <v>5000</v>
      </c>
      <c r="F9" s="561" t="s">
        <v>3431</v>
      </c>
      <c r="G9" s="571" t="s">
        <v>2931</v>
      </c>
      <c r="H9" s="571" t="s">
        <v>20</v>
      </c>
      <c r="I9" s="571" t="s">
        <v>2932</v>
      </c>
      <c r="J9" s="571">
        <v>43700</v>
      </c>
      <c r="K9" s="574" t="s">
        <v>4196</v>
      </c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</row>
    <row r="10" spans="1:31" ht="15.75" customHeight="1">
      <c r="A10" s="575">
        <v>43894</v>
      </c>
      <c r="B10" s="576" t="s">
        <v>6347</v>
      </c>
      <c r="C10" s="405" t="s">
        <v>2929</v>
      </c>
      <c r="D10" s="561" t="s">
        <v>6343</v>
      </c>
      <c r="E10" s="573">
        <v>3700</v>
      </c>
      <c r="F10" s="561" t="s">
        <v>3228</v>
      </c>
      <c r="G10" s="571" t="s">
        <v>19</v>
      </c>
      <c r="H10" s="571" t="s">
        <v>20</v>
      </c>
      <c r="I10" s="571" t="s">
        <v>3080</v>
      </c>
      <c r="J10" s="571">
        <v>43510</v>
      </c>
      <c r="K10" s="574" t="s">
        <v>6348</v>
      </c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</row>
    <row r="11" spans="1:31" ht="15.75" customHeight="1">
      <c r="A11" s="575">
        <v>43895</v>
      </c>
      <c r="B11" s="576" t="s">
        <v>6349</v>
      </c>
      <c r="C11" s="405" t="s">
        <v>2929</v>
      </c>
      <c r="D11" s="561" t="s">
        <v>6343</v>
      </c>
      <c r="E11" s="573">
        <v>14000</v>
      </c>
      <c r="F11" s="561" t="s">
        <v>3198</v>
      </c>
      <c r="G11" s="571" t="s">
        <v>2931</v>
      </c>
      <c r="H11" s="571" t="s">
        <v>20</v>
      </c>
      <c r="I11" s="571" t="s">
        <v>2932</v>
      </c>
      <c r="J11" s="571">
        <v>43703</v>
      </c>
      <c r="K11" s="574" t="s">
        <v>4196</v>
      </c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</row>
    <row r="12" spans="1:31" ht="15.75" customHeight="1">
      <c r="A12" s="575">
        <v>43902</v>
      </c>
      <c r="B12" s="576" t="s">
        <v>6350</v>
      </c>
      <c r="C12" s="405" t="s">
        <v>2929</v>
      </c>
      <c r="D12" s="561" t="s">
        <v>6343</v>
      </c>
      <c r="E12" s="573">
        <v>10000</v>
      </c>
      <c r="F12" s="561" t="s">
        <v>3564</v>
      </c>
      <c r="G12" s="571" t="s">
        <v>2931</v>
      </c>
      <c r="H12" s="571" t="s">
        <v>20</v>
      </c>
      <c r="I12" s="571" t="s">
        <v>2932</v>
      </c>
      <c r="J12" s="571">
        <v>43567</v>
      </c>
      <c r="K12" s="574" t="s">
        <v>3803</v>
      </c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  <c r="AB12" s="570"/>
      <c r="AC12" s="570"/>
      <c r="AD12" s="570"/>
      <c r="AE12" s="570"/>
    </row>
    <row r="13" spans="1:31" ht="15.75" customHeight="1">
      <c r="A13" s="575">
        <v>43906</v>
      </c>
      <c r="B13" s="576" t="s">
        <v>6351</v>
      </c>
      <c r="C13" s="405" t="s">
        <v>2929</v>
      </c>
      <c r="D13" s="561" t="s">
        <v>6343</v>
      </c>
      <c r="E13" s="573">
        <v>193205.23</v>
      </c>
      <c r="F13" s="561" t="s">
        <v>3235</v>
      </c>
      <c r="G13" s="571" t="s">
        <v>2931</v>
      </c>
      <c r="H13" s="571" t="s">
        <v>20</v>
      </c>
      <c r="I13" s="571" t="s">
        <v>2932</v>
      </c>
      <c r="J13" s="571">
        <v>43605</v>
      </c>
      <c r="K13" s="574" t="s">
        <v>3813</v>
      </c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</row>
    <row r="14" spans="1:31" ht="15.75" customHeight="1">
      <c r="A14" s="575">
        <v>43906</v>
      </c>
      <c r="B14" s="578" t="s">
        <v>6352</v>
      </c>
      <c r="C14" s="405" t="s">
        <v>3793</v>
      </c>
      <c r="D14" s="561" t="s">
        <v>6343</v>
      </c>
      <c r="E14" s="573">
        <v>10000</v>
      </c>
      <c r="F14" s="561" t="s">
        <v>5177</v>
      </c>
      <c r="G14" s="561" t="s">
        <v>2931</v>
      </c>
      <c r="H14" s="561" t="s">
        <v>20</v>
      </c>
      <c r="I14" s="561" t="s">
        <v>2931</v>
      </c>
      <c r="J14" s="571">
        <v>43924</v>
      </c>
      <c r="K14" s="577" t="s">
        <v>3803</v>
      </c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  <c r="AB14" s="570"/>
      <c r="AC14" s="570"/>
      <c r="AD14" s="570"/>
      <c r="AE14" s="570"/>
    </row>
    <row r="15" spans="1:31" ht="15.75" customHeight="1">
      <c r="A15" s="575">
        <v>43907</v>
      </c>
      <c r="B15" s="576" t="s">
        <v>6353</v>
      </c>
      <c r="C15" s="405" t="s">
        <v>2929</v>
      </c>
      <c r="D15" s="561" t="s">
        <v>6343</v>
      </c>
      <c r="E15" s="573">
        <v>25000</v>
      </c>
      <c r="F15" s="561" t="s">
        <v>3075</v>
      </c>
      <c r="G15" s="571" t="s">
        <v>2931</v>
      </c>
      <c r="H15" s="571" t="s">
        <v>20</v>
      </c>
      <c r="I15" s="571" t="s">
        <v>2932</v>
      </c>
      <c r="J15" s="571">
        <v>43822</v>
      </c>
      <c r="K15" s="574" t="s">
        <v>3813</v>
      </c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</row>
    <row r="16" spans="1:31" ht="15.75" customHeight="1">
      <c r="A16" s="575">
        <v>43907</v>
      </c>
      <c r="B16" s="576" t="s">
        <v>6349</v>
      </c>
      <c r="C16" s="405" t="s">
        <v>2929</v>
      </c>
      <c r="D16" s="561" t="s">
        <v>6343</v>
      </c>
      <c r="E16" s="573">
        <v>7000</v>
      </c>
      <c r="F16" s="561" t="s">
        <v>3198</v>
      </c>
      <c r="G16" s="571" t="s">
        <v>2931</v>
      </c>
      <c r="H16" s="571" t="s">
        <v>20</v>
      </c>
      <c r="I16" s="571" t="s">
        <v>2932</v>
      </c>
      <c r="J16" s="571">
        <v>43703</v>
      </c>
      <c r="K16" s="574" t="s">
        <v>4196</v>
      </c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</row>
    <row r="17" spans="1:31" ht="15.75" customHeight="1">
      <c r="A17" s="575">
        <v>43907</v>
      </c>
      <c r="B17" s="576" t="s">
        <v>6354</v>
      </c>
      <c r="C17" s="405" t="s">
        <v>3793</v>
      </c>
      <c r="D17" s="561" t="s">
        <v>6343</v>
      </c>
      <c r="E17" s="573">
        <v>95799.8</v>
      </c>
      <c r="F17" s="561" t="s">
        <v>4673</v>
      </c>
      <c r="G17" s="561" t="s">
        <v>2931</v>
      </c>
      <c r="H17" s="561" t="s">
        <v>20</v>
      </c>
      <c r="I17" s="561" t="s">
        <v>2931</v>
      </c>
      <c r="J17" s="571">
        <v>44252</v>
      </c>
      <c r="K17" s="577" t="s">
        <v>3813</v>
      </c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</row>
    <row r="18" spans="1:31" ht="15.75" customHeight="1">
      <c r="A18" s="571">
        <v>43910</v>
      </c>
      <c r="B18" s="572" t="s">
        <v>6355</v>
      </c>
      <c r="C18" s="561" t="s">
        <v>2929</v>
      </c>
      <c r="D18" s="561" t="s">
        <v>956</v>
      </c>
      <c r="E18" s="573">
        <v>0</v>
      </c>
      <c r="F18" s="561" t="s">
        <v>3136</v>
      </c>
      <c r="G18" s="571" t="s">
        <v>2931</v>
      </c>
      <c r="H18" s="571" t="s">
        <v>20</v>
      </c>
      <c r="I18" s="571" t="s">
        <v>2938</v>
      </c>
      <c r="J18" s="571">
        <v>43699</v>
      </c>
      <c r="K18" s="574" t="s">
        <v>4196</v>
      </c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</row>
    <row r="19" spans="1:31" ht="15.75" customHeight="1">
      <c r="A19" s="575">
        <v>43915</v>
      </c>
      <c r="B19" s="576" t="s">
        <v>6351</v>
      </c>
      <c r="C19" s="405" t="s">
        <v>2929</v>
      </c>
      <c r="D19" s="561" t="s">
        <v>6343</v>
      </c>
      <c r="E19" s="573">
        <v>0</v>
      </c>
      <c r="F19" s="561" t="s">
        <v>3235</v>
      </c>
      <c r="G19" s="571" t="s">
        <v>2931</v>
      </c>
      <c r="H19" s="571" t="s">
        <v>20</v>
      </c>
      <c r="I19" s="571" t="s">
        <v>2932</v>
      </c>
      <c r="J19" s="571">
        <v>43605</v>
      </c>
      <c r="K19" s="574" t="s">
        <v>3813</v>
      </c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</row>
    <row r="20" spans="1:31" ht="15.75" customHeight="1">
      <c r="A20" s="575">
        <v>43915</v>
      </c>
      <c r="B20" s="576" t="s">
        <v>6349</v>
      </c>
      <c r="C20" s="405" t="s">
        <v>2929</v>
      </c>
      <c r="D20" s="561" t="s">
        <v>6343</v>
      </c>
      <c r="E20" s="573">
        <v>80000</v>
      </c>
      <c r="F20" s="561" t="s">
        <v>3198</v>
      </c>
      <c r="G20" s="571" t="s">
        <v>2931</v>
      </c>
      <c r="H20" s="571" t="s">
        <v>20</v>
      </c>
      <c r="I20" s="571" t="s">
        <v>2932</v>
      </c>
      <c r="J20" s="571">
        <v>43703</v>
      </c>
      <c r="K20" s="574" t="s">
        <v>4196</v>
      </c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  <c r="AB20" s="570"/>
      <c r="AC20" s="570"/>
      <c r="AD20" s="570"/>
      <c r="AE20" s="570"/>
    </row>
    <row r="21" spans="1:31" ht="15.75" customHeight="1">
      <c r="A21" s="575">
        <v>43915</v>
      </c>
      <c r="B21" s="576" t="s">
        <v>6352</v>
      </c>
      <c r="C21" s="405" t="s">
        <v>3793</v>
      </c>
      <c r="D21" s="561" t="s">
        <v>921</v>
      </c>
      <c r="E21" s="573">
        <v>10000</v>
      </c>
      <c r="F21" s="561" t="s">
        <v>5177</v>
      </c>
      <c r="G21" s="561" t="s">
        <v>2931</v>
      </c>
      <c r="H21" s="561" t="s">
        <v>20</v>
      </c>
      <c r="I21" s="561" t="s">
        <v>2931</v>
      </c>
      <c r="J21" s="571">
        <v>43924</v>
      </c>
      <c r="K21" s="577" t="s">
        <v>3803</v>
      </c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</row>
    <row r="22" spans="1:31" ht="15.75" customHeight="1">
      <c r="A22" s="575">
        <v>43917</v>
      </c>
      <c r="B22" s="576" t="s">
        <v>6356</v>
      </c>
      <c r="C22" s="405" t="s">
        <v>2929</v>
      </c>
      <c r="D22" s="561" t="s">
        <v>6343</v>
      </c>
      <c r="E22" s="573">
        <v>80000</v>
      </c>
      <c r="F22" s="561" t="s">
        <v>3261</v>
      </c>
      <c r="G22" s="571" t="s">
        <v>2931</v>
      </c>
      <c r="H22" s="571" t="s">
        <v>20</v>
      </c>
      <c r="I22" s="571" t="s">
        <v>2938</v>
      </c>
      <c r="J22" s="571">
        <v>43664</v>
      </c>
      <c r="K22" s="574" t="s">
        <v>4196</v>
      </c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  <c r="AB22" s="570"/>
      <c r="AC22" s="570"/>
      <c r="AD22" s="570"/>
      <c r="AE22" s="570"/>
    </row>
    <row r="23" spans="1:31" ht="15.75" customHeight="1">
      <c r="A23" s="575">
        <v>43917</v>
      </c>
      <c r="B23" s="576" t="s">
        <v>6345</v>
      </c>
      <c r="C23" s="405" t="s">
        <v>3793</v>
      </c>
      <c r="D23" s="561" t="s">
        <v>6343</v>
      </c>
      <c r="E23" s="573">
        <v>25000</v>
      </c>
      <c r="F23" s="561" t="s">
        <v>5056</v>
      </c>
      <c r="G23" s="561" t="s">
        <v>2931</v>
      </c>
      <c r="H23" s="561" t="s">
        <v>20</v>
      </c>
      <c r="I23" s="561" t="s">
        <v>2931</v>
      </c>
      <c r="J23" s="571">
        <v>43749</v>
      </c>
      <c r="K23" s="577" t="s">
        <v>4196</v>
      </c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</row>
    <row r="24" spans="1:31" ht="15.75" customHeight="1">
      <c r="A24" s="575">
        <v>43920</v>
      </c>
      <c r="B24" s="576" t="s">
        <v>6357</v>
      </c>
      <c r="C24" s="405" t="s">
        <v>2929</v>
      </c>
      <c r="D24" s="561" t="s">
        <v>6343</v>
      </c>
      <c r="E24" s="573">
        <v>20000</v>
      </c>
      <c r="F24" s="561" t="s">
        <v>3243</v>
      </c>
      <c r="G24" s="571" t="s">
        <v>2931</v>
      </c>
      <c r="H24" s="571" t="s">
        <v>20</v>
      </c>
      <c r="I24" s="571" t="s">
        <v>2938</v>
      </c>
      <c r="J24" s="571">
        <v>43559</v>
      </c>
      <c r="K24" s="574" t="s">
        <v>4196</v>
      </c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570"/>
      <c r="AD24" s="570"/>
      <c r="AE24" s="570"/>
    </row>
    <row r="25" spans="1:31" ht="15.75" customHeight="1">
      <c r="A25" s="571">
        <v>43922</v>
      </c>
      <c r="B25" s="572" t="s">
        <v>6358</v>
      </c>
      <c r="C25" s="561" t="s">
        <v>2929</v>
      </c>
      <c r="D25" s="561" t="s">
        <v>956</v>
      </c>
      <c r="E25" s="573">
        <v>95799.8</v>
      </c>
      <c r="F25" s="561" t="s">
        <v>3424</v>
      </c>
      <c r="G25" s="571" t="s">
        <v>2931</v>
      </c>
      <c r="H25" s="571" t="s">
        <v>20</v>
      </c>
      <c r="I25" s="571" t="s">
        <v>2932</v>
      </c>
      <c r="J25" s="571">
        <v>43563</v>
      </c>
      <c r="K25" s="574" t="s">
        <v>3817</v>
      </c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</row>
    <row r="26" spans="1:31" ht="15.75" customHeight="1">
      <c r="A26" s="575">
        <v>43922</v>
      </c>
      <c r="B26" s="576" t="s">
        <v>6358</v>
      </c>
      <c r="C26" s="405" t="s">
        <v>2929</v>
      </c>
      <c r="D26" s="561" t="s">
        <v>921</v>
      </c>
      <c r="E26" s="573">
        <v>50000</v>
      </c>
      <c r="F26" s="561" t="s">
        <v>3424</v>
      </c>
      <c r="G26" s="571" t="s">
        <v>2931</v>
      </c>
      <c r="H26" s="571" t="s">
        <v>20</v>
      </c>
      <c r="I26" s="571" t="s">
        <v>2932</v>
      </c>
      <c r="J26" s="571">
        <v>43563</v>
      </c>
      <c r="K26" s="574" t="s">
        <v>3817</v>
      </c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  <c r="AB26" s="570"/>
      <c r="AC26" s="570"/>
      <c r="AD26" s="570"/>
      <c r="AE26" s="570"/>
    </row>
    <row r="27" spans="1:31" ht="15.75" customHeight="1">
      <c r="A27" s="575">
        <v>43922</v>
      </c>
      <c r="B27" s="576" t="s">
        <v>6359</v>
      </c>
      <c r="C27" s="405" t="s">
        <v>2929</v>
      </c>
      <c r="D27" s="561" t="s">
        <v>921</v>
      </c>
      <c r="E27" s="573">
        <v>30000</v>
      </c>
      <c r="F27" s="561" t="s">
        <v>3068</v>
      </c>
      <c r="G27" s="571" t="s">
        <v>2931</v>
      </c>
      <c r="H27" s="571" t="s">
        <v>20</v>
      </c>
      <c r="I27" s="571" t="s">
        <v>2932</v>
      </c>
      <c r="J27" s="571">
        <v>43453</v>
      </c>
      <c r="K27" s="574" t="s">
        <v>3817</v>
      </c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</row>
    <row r="28" spans="1:31" ht="15.75" customHeight="1">
      <c r="A28" s="575">
        <v>43923</v>
      </c>
      <c r="B28" s="576" t="s">
        <v>6349</v>
      </c>
      <c r="C28" s="405" t="s">
        <v>2929</v>
      </c>
      <c r="D28" s="561" t="s">
        <v>6343</v>
      </c>
      <c r="E28" s="573">
        <v>14000</v>
      </c>
      <c r="F28" s="561" t="s">
        <v>3198</v>
      </c>
      <c r="G28" s="571" t="s">
        <v>2931</v>
      </c>
      <c r="H28" s="571" t="s">
        <v>20</v>
      </c>
      <c r="I28" s="571" t="s">
        <v>2932</v>
      </c>
      <c r="J28" s="571">
        <v>43703</v>
      </c>
      <c r="K28" s="574" t="s">
        <v>4196</v>
      </c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  <c r="AB28" s="570"/>
      <c r="AC28" s="570"/>
      <c r="AD28" s="570"/>
      <c r="AE28" s="570"/>
    </row>
    <row r="29" spans="1:31" ht="15.75" customHeight="1">
      <c r="A29" s="571">
        <v>43924</v>
      </c>
      <c r="B29" s="572" t="s">
        <v>6352</v>
      </c>
      <c r="C29" s="561" t="s">
        <v>3793</v>
      </c>
      <c r="D29" s="561" t="s">
        <v>956</v>
      </c>
      <c r="E29" s="573">
        <v>0</v>
      </c>
      <c r="F29" s="561" t="s">
        <v>5177</v>
      </c>
      <c r="G29" s="561" t="s">
        <v>2931</v>
      </c>
      <c r="H29" s="561" t="s">
        <v>20</v>
      </c>
      <c r="I29" s="561" t="s">
        <v>2931</v>
      </c>
      <c r="J29" s="571">
        <v>43684</v>
      </c>
      <c r="K29" s="577" t="s">
        <v>3803</v>
      </c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</row>
    <row r="30" spans="1:31" ht="15.75" customHeight="1">
      <c r="A30" s="575">
        <v>43928</v>
      </c>
      <c r="B30" s="576" t="s">
        <v>6360</v>
      </c>
      <c r="C30" s="405" t="s">
        <v>3793</v>
      </c>
      <c r="D30" s="561" t="s">
        <v>6343</v>
      </c>
      <c r="E30" s="573">
        <v>20000</v>
      </c>
      <c r="F30" s="561" t="s">
        <v>4687</v>
      </c>
      <c r="G30" s="561" t="s">
        <v>2931</v>
      </c>
      <c r="H30" s="561" t="s">
        <v>20</v>
      </c>
      <c r="I30" s="561" t="s">
        <v>2931</v>
      </c>
      <c r="J30" s="571">
        <v>43872</v>
      </c>
      <c r="K30" s="577" t="s">
        <v>3803</v>
      </c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  <c r="AB30" s="570"/>
      <c r="AC30" s="570"/>
      <c r="AD30" s="570"/>
      <c r="AE30" s="570"/>
    </row>
    <row r="31" spans="1:31" ht="15.75" customHeight="1">
      <c r="A31" s="575">
        <v>43929</v>
      </c>
      <c r="B31" s="576" t="s">
        <v>6361</v>
      </c>
      <c r="C31" s="405" t="s">
        <v>2929</v>
      </c>
      <c r="D31" s="561" t="s">
        <v>6343</v>
      </c>
      <c r="E31" s="573">
        <v>8000</v>
      </c>
      <c r="F31" s="561" t="s">
        <v>3553</v>
      </c>
      <c r="G31" s="571" t="s">
        <v>2931</v>
      </c>
      <c r="H31" s="571" t="s">
        <v>20</v>
      </c>
      <c r="I31" s="571" t="s">
        <v>2932</v>
      </c>
      <c r="J31" s="571">
        <v>43738</v>
      </c>
      <c r="K31" s="574" t="s">
        <v>3817</v>
      </c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</row>
    <row r="32" spans="1:31" ht="15.75" customHeight="1">
      <c r="A32" s="575">
        <v>43930</v>
      </c>
      <c r="B32" s="576" t="s">
        <v>3702</v>
      </c>
      <c r="C32" s="405" t="s">
        <v>3613</v>
      </c>
      <c r="D32" s="561" t="s">
        <v>6343</v>
      </c>
      <c r="E32" s="573">
        <v>5000</v>
      </c>
      <c r="F32" s="561" t="s">
        <v>3701</v>
      </c>
      <c r="G32" s="571" t="s">
        <v>19</v>
      </c>
      <c r="H32" s="571" t="s">
        <v>20</v>
      </c>
      <c r="I32" s="571" t="s">
        <v>2518</v>
      </c>
      <c r="J32" s="571">
        <v>43797</v>
      </c>
      <c r="K32" s="574" t="s">
        <v>3813</v>
      </c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</row>
    <row r="33" spans="1:31" ht="15.75" customHeight="1">
      <c r="A33" s="575">
        <v>43935</v>
      </c>
      <c r="B33" s="576" t="s">
        <v>6362</v>
      </c>
      <c r="C33" s="405" t="s">
        <v>3793</v>
      </c>
      <c r="D33" s="561" t="s">
        <v>6343</v>
      </c>
      <c r="E33" s="573">
        <v>2000</v>
      </c>
      <c r="F33" s="561" t="s">
        <v>5119</v>
      </c>
      <c r="G33" s="561" t="s">
        <v>2931</v>
      </c>
      <c r="H33" s="561" t="s">
        <v>20</v>
      </c>
      <c r="I33" s="561" t="s">
        <v>2931</v>
      </c>
      <c r="J33" s="571">
        <v>44225</v>
      </c>
      <c r="K33" s="577" t="s">
        <v>3803</v>
      </c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</row>
    <row r="34" spans="1:31" ht="15.75" customHeight="1">
      <c r="A34" s="575">
        <v>43938</v>
      </c>
      <c r="B34" s="576" t="s">
        <v>6351</v>
      </c>
      <c r="C34" s="405" t="s">
        <v>2929</v>
      </c>
      <c r="D34" s="561" t="s">
        <v>6343</v>
      </c>
      <c r="E34" s="573">
        <v>3000</v>
      </c>
      <c r="F34" s="561" t="s">
        <v>3235</v>
      </c>
      <c r="G34" s="571" t="s">
        <v>2931</v>
      </c>
      <c r="H34" s="571" t="s">
        <v>20</v>
      </c>
      <c r="I34" s="571" t="s">
        <v>2932</v>
      </c>
      <c r="J34" s="571">
        <v>43605</v>
      </c>
      <c r="K34" s="574" t="s">
        <v>3813</v>
      </c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</row>
    <row r="35" spans="1:31" ht="15.75" customHeight="1">
      <c r="A35" s="575">
        <v>43948</v>
      </c>
      <c r="B35" s="576" t="s">
        <v>6349</v>
      </c>
      <c r="C35" s="405" t="s">
        <v>2929</v>
      </c>
      <c r="D35" s="561" t="s">
        <v>6343</v>
      </c>
      <c r="E35" s="573">
        <v>10000</v>
      </c>
      <c r="F35" s="561" t="s">
        <v>3198</v>
      </c>
      <c r="G35" s="571" t="s">
        <v>2931</v>
      </c>
      <c r="H35" s="571" t="s">
        <v>20</v>
      </c>
      <c r="I35" s="571" t="s">
        <v>2932</v>
      </c>
      <c r="J35" s="571">
        <v>43703</v>
      </c>
      <c r="K35" s="574" t="s">
        <v>4196</v>
      </c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</row>
    <row r="36" spans="1:31" ht="15.75" customHeight="1">
      <c r="A36" s="575">
        <v>43948</v>
      </c>
      <c r="B36" s="576" t="s">
        <v>6351</v>
      </c>
      <c r="C36" s="405" t="s">
        <v>2929</v>
      </c>
      <c r="D36" s="561" t="s">
        <v>6343</v>
      </c>
      <c r="E36" s="573">
        <v>2000</v>
      </c>
      <c r="F36" s="561" t="s">
        <v>3235</v>
      </c>
      <c r="G36" s="571" t="s">
        <v>2931</v>
      </c>
      <c r="H36" s="571" t="s">
        <v>20</v>
      </c>
      <c r="I36" s="571" t="s">
        <v>2932</v>
      </c>
      <c r="J36" s="571">
        <v>43605</v>
      </c>
      <c r="K36" s="574" t="s">
        <v>3813</v>
      </c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</row>
    <row r="37" spans="1:31" ht="15.75" customHeight="1">
      <c r="A37" s="575">
        <v>43949</v>
      </c>
      <c r="B37" s="576" t="s">
        <v>6345</v>
      </c>
      <c r="C37" s="405" t="s">
        <v>3793</v>
      </c>
      <c r="D37" s="561" t="s">
        <v>6343</v>
      </c>
      <c r="E37" s="573">
        <v>15000</v>
      </c>
      <c r="F37" s="561" t="s">
        <v>5056</v>
      </c>
      <c r="G37" s="561" t="s">
        <v>2931</v>
      </c>
      <c r="H37" s="561" t="s">
        <v>20</v>
      </c>
      <c r="I37" s="561" t="s">
        <v>2931</v>
      </c>
      <c r="J37" s="571">
        <v>43749</v>
      </c>
      <c r="K37" s="577" t="s">
        <v>4196</v>
      </c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</row>
    <row r="38" spans="1:31" ht="15.75" customHeight="1">
      <c r="A38" s="575">
        <v>43950</v>
      </c>
      <c r="B38" s="576" t="s">
        <v>6356</v>
      </c>
      <c r="C38" s="405" t="s">
        <v>2929</v>
      </c>
      <c r="D38" s="561" t="s">
        <v>6343</v>
      </c>
      <c r="E38" s="573">
        <v>100000</v>
      </c>
      <c r="F38" s="561" t="s">
        <v>3261</v>
      </c>
      <c r="G38" s="571" t="s">
        <v>2931</v>
      </c>
      <c r="H38" s="571" t="s">
        <v>20</v>
      </c>
      <c r="I38" s="571" t="s">
        <v>2938</v>
      </c>
      <c r="J38" s="571">
        <v>43664</v>
      </c>
      <c r="K38" s="574" t="s">
        <v>4196</v>
      </c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570"/>
      <c r="AD38" s="570"/>
      <c r="AE38" s="570"/>
    </row>
    <row r="39" spans="1:31" ht="15.75" customHeight="1">
      <c r="A39" s="575">
        <v>43951</v>
      </c>
      <c r="B39" s="576" t="s">
        <v>6357</v>
      </c>
      <c r="C39" s="405" t="s">
        <v>2929</v>
      </c>
      <c r="D39" s="561" t="s">
        <v>6343</v>
      </c>
      <c r="E39" s="573">
        <v>20000</v>
      </c>
      <c r="F39" s="561" t="s">
        <v>3243</v>
      </c>
      <c r="G39" s="571" t="s">
        <v>2931</v>
      </c>
      <c r="H39" s="571" t="s">
        <v>20</v>
      </c>
      <c r="I39" s="571" t="s">
        <v>2938</v>
      </c>
      <c r="J39" s="571">
        <v>43559</v>
      </c>
      <c r="K39" s="574" t="s">
        <v>4196</v>
      </c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</row>
    <row r="40" spans="1:31" ht="15.75" customHeight="1">
      <c r="A40" s="575">
        <v>43956</v>
      </c>
      <c r="B40" s="576" t="s">
        <v>6363</v>
      </c>
      <c r="C40" s="405" t="s">
        <v>2929</v>
      </c>
      <c r="D40" s="561" t="s">
        <v>6343</v>
      </c>
      <c r="E40" s="573">
        <v>75000</v>
      </c>
      <c r="F40" s="561" t="s">
        <v>3407</v>
      </c>
      <c r="G40" s="571" t="s">
        <v>2931</v>
      </c>
      <c r="H40" s="571" t="s">
        <v>20</v>
      </c>
      <c r="I40" s="571" t="s">
        <v>2932</v>
      </c>
      <c r="J40" s="571">
        <v>43699</v>
      </c>
      <c r="K40" s="574" t="s">
        <v>4196</v>
      </c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  <c r="AB40" s="570"/>
      <c r="AC40" s="570"/>
      <c r="AD40" s="570"/>
      <c r="AE40" s="570"/>
    </row>
    <row r="41" spans="1:31" ht="15.75" customHeight="1">
      <c r="A41" s="575">
        <v>43958</v>
      </c>
      <c r="B41" s="576" t="s">
        <v>6357</v>
      </c>
      <c r="C41" s="405" t="s">
        <v>2929</v>
      </c>
      <c r="D41" s="561" t="s">
        <v>6343</v>
      </c>
      <c r="E41" s="573">
        <v>2000</v>
      </c>
      <c r="F41" s="561" t="s">
        <v>3243</v>
      </c>
      <c r="G41" s="571" t="s">
        <v>2931</v>
      </c>
      <c r="H41" s="571" t="s">
        <v>20</v>
      </c>
      <c r="I41" s="571" t="s">
        <v>2938</v>
      </c>
      <c r="J41" s="571">
        <v>43559</v>
      </c>
      <c r="K41" s="574" t="s">
        <v>4196</v>
      </c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</row>
    <row r="42" spans="1:31" ht="15.75" customHeight="1">
      <c r="A42" s="575">
        <v>43958</v>
      </c>
      <c r="B42" s="576" t="s">
        <v>6364</v>
      </c>
      <c r="C42" s="405" t="s">
        <v>2929</v>
      </c>
      <c r="D42" s="561" t="s">
        <v>6343</v>
      </c>
      <c r="E42" s="573">
        <v>2000</v>
      </c>
      <c r="F42" s="561" t="s">
        <v>3516</v>
      </c>
      <c r="G42" s="571" t="s">
        <v>2931</v>
      </c>
      <c r="H42" s="571" t="s">
        <v>20</v>
      </c>
      <c r="I42" s="571" t="s">
        <v>2932</v>
      </c>
      <c r="J42" s="571">
        <v>43717</v>
      </c>
      <c r="K42" s="574" t="s">
        <v>4196</v>
      </c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</row>
    <row r="43" spans="1:31" ht="15.75" customHeight="1">
      <c r="A43" s="575">
        <v>43959</v>
      </c>
      <c r="B43" s="578" t="s">
        <v>6365</v>
      </c>
      <c r="C43" s="405" t="s">
        <v>2929</v>
      </c>
      <c r="D43" s="561" t="s">
        <v>6343</v>
      </c>
      <c r="E43" s="579">
        <v>1000</v>
      </c>
      <c r="F43" s="561" t="s">
        <v>3452</v>
      </c>
      <c r="G43" s="571" t="s">
        <v>2931</v>
      </c>
      <c r="H43" s="571" t="s">
        <v>20</v>
      </c>
      <c r="I43" s="571" t="s">
        <v>2932</v>
      </c>
      <c r="J43" s="571">
        <v>43894</v>
      </c>
      <c r="K43" s="574" t="s">
        <v>3813</v>
      </c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</row>
    <row r="44" spans="1:31" ht="15.75" customHeight="1">
      <c r="A44" s="575">
        <v>43964</v>
      </c>
      <c r="B44" s="576" t="s">
        <v>6361</v>
      </c>
      <c r="C44" s="405" t="s">
        <v>2929</v>
      </c>
      <c r="D44" s="561" t="s">
        <v>6343</v>
      </c>
      <c r="E44" s="573">
        <v>60000</v>
      </c>
      <c r="F44" s="561" t="s">
        <v>3553</v>
      </c>
      <c r="G44" s="571" t="s">
        <v>2931</v>
      </c>
      <c r="H44" s="571" t="s">
        <v>20</v>
      </c>
      <c r="I44" s="571" t="s">
        <v>2932</v>
      </c>
      <c r="J44" s="571">
        <v>43738</v>
      </c>
      <c r="K44" s="574" t="s">
        <v>3817</v>
      </c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  <c r="AB44" s="570"/>
      <c r="AC44" s="570"/>
      <c r="AD44" s="570"/>
      <c r="AE44" s="570"/>
    </row>
    <row r="45" spans="1:31" ht="15.75" customHeight="1">
      <c r="A45" s="575">
        <v>43965</v>
      </c>
      <c r="B45" s="578" t="s">
        <v>6366</v>
      </c>
      <c r="C45" s="405" t="s">
        <v>2929</v>
      </c>
      <c r="D45" s="561" t="s">
        <v>6343</v>
      </c>
      <c r="E45" s="573">
        <v>20000</v>
      </c>
      <c r="F45" s="561" t="s">
        <v>3106</v>
      </c>
      <c r="G45" s="571" t="s">
        <v>2931</v>
      </c>
      <c r="H45" s="571" t="s">
        <v>20</v>
      </c>
      <c r="I45" s="571" t="s">
        <v>2938</v>
      </c>
      <c r="J45" s="571">
        <v>43913</v>
      </c>
      <c r="K45" s="574" t="s">
        <v>3803</v>
      </c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</row>
    <row r="46" spans="1:31" ht="15.75" customHeight="1">
      <c r="A46" s="575">
        <v>43965</v>
      </c>
      <c r="B46" s="576" t="s">
        <v>6362</v>
      </c>
      <c r="C46" s="405" t="s">
        <v>3793</v>
      </c>
      <c r="D46" s="561" t="s">
        <v>6343</v>
      </c>
      <c r="E46" s="573">
        <v>20000</v>
      </c>
      <c r="F46" s="561" t="s">
        <v>5119</v>
      </c>
      <c r="G46" s="561" t="s">
        <v>2931</v>
      </c>
      <c r="H46" s="561" t="s">
        <v>20</v>
      </c>
      <c r="I46" s="561" t="s">
        <v>2931</v>
      </c>
      <c r="J46" s="571">
        <v>44225</v>
      </c>
      <c r="K46" s="577" t="s">
        <v>3803</v>
      </c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  <c r="AB46" s="570"/>
      <c r="AC46" s="570"/>
      <c r="AD46" s="570"/>
      <c r="AE46" s="570"/>
    </row>
    <row r="47" spans="1:31" ht="15.75" customHeight="1">
      <c r="A47" s="575">
        <v>43965</v>
      </c>
      <c r="B47" s="576" t="s">
        <v>6361</v>
      </c>
      <c r="C47" s="405" t="s">
        <v>2929</v>
      </c>
      <c r="D47" s="561" t="s">
        <v>6343</v>
      </c>
      <c r="E47" s="573">
        <v>6000</v>
      </c>
      <c r="F47" s="561" t="s">
        <v>3553</v>
      </c>
      <c r="G47" s="571" t="s">
        <v>2931</v>
      </c>
      <c r="H47" s="571" t="s">
        <v>20</v>
      </c>
      <c r="I47" s="571" t="s">
        <v>2932</v>
      </c>
      <c r="J47" s="571">
        <v>43738</v>
      </c>
      <c r="K47" s="574" t="s">
        <v>3817</v>
      </c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</row>
    <row r="48" spans="1:31" ht="15.75" customHeight="1">
      <c r="A48" s="575">
        <v>43966</v>
      </c>
      <c r="B48" s="576" t="s">
        <v>6349</v>
      </c>
      <c r="C48" s="405" t="s">
        <v>2929</v>
      </c>
      <c r="D48" s="561" t="s">
        <v>6343</v>
      </c>
      <c r="E48" s="573">
        <v>10000</v>
      </c>
      <c r="F48" s="561" t="s">
        <v>3198</v>
      </c>
      <c r="G48" s="571" t="s">
        <v>2931</v>
      </c>
      <c r="H48" s="571" t="s">
        <v>20</v>
      </c>
      <c r="I48" s="571" t="s">
        <v>2932</v>
      </c>
      <c r="J48" s="571">
        <v>43703</v>
      </c>
      <c r="K48" s="574" t="s">
        <v>4196</v>
      </c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  <c r="AB48" s="570"/>
      <c r="AC48" s="570"/>
      <c r="AD48" s="570"/>
      <c r="AE48" s="570"/>
    </row>
    <row r="49" spans="1:31" ht="15.75" customHeight="1">
      <c r="A49" s="575">
        <v>43969</v>
      </c>
      <c r="B49" s="576" t="s">
        <v>6365</v>
      </c>
      <c r="C49" s="405" t="s">
        <v>2929</v>
      </c>
      <c r="D49" s="561" t="s">
        <v>6343</v>
      </c>
      <c r="E49" s="573">
        <v>7000</v>
      </c>
      <c r="F49" s="561" t="s">
        <v>3452</v>
      </c>
      <c r="G49" s="571" t="s">
        <v>2931</v>
      </c>
      <c r="H49" s="571" t="s">
        <v>20</v>
      </c>
      <c r="I49" s="571" t="s">
        <v>2932</v>
      </c>
      <c r="J49" s="571">
        <v>43894</v>
      </c>
      <c r="K49" s="574" t="s">
        <v>3813</v>
      </c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</row>
    <row r="50" spans="1:31" ht="15.75" customHeight="1">
      <c r="A50" s="575">
        <v>43969</v>
      </c>
      <c r="B50" s="576" t="s">
        <v>6365</v>
      </c>
      <c r="C50" s="405" t="s">
        <v>2929</v>
      </c>
      <c r="D50" s="561" t="s">
        <v>6343</v>
      </c>
      <c r="E50" s="573">
        <v>10000</v>
      </c>
      <c r="F50" s="561" t="s">
        <v>3452</v>
      </c>
      <c r="G50" s="571" t="s">
        <v>2931</v>
      </c>
      <c r="H50" s="571" t="s">
        <v>20</v>
      </c>
      <c r="I50" s="571" t="s">
        <v>2932</v>
      </c>
      <c r="J50" s="571">
        <v>43894</v>
      </c>
      <c r="K50" s="574" t="s">
        <v>3813</v>
      </c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  <c r="AB50" s="570"/>
      <c r="AC50" s="570"/>
      <c r="AD50" s="570"/>
      <c r="AE50" s="570"/>
    </row>
    <row r="51" spans="1:31" ht="15.75" customHeight="1">
      <c r="A51" s="575">
        <v>43969</v>
      </c>
      <c r="B51" s="576" t="s">
        <v>6367</v>
      </c>
      <c r="C51" s="405" t="s">
        <v>2929</v>
      </c>
      <c r="D51" s="561" t="s">
        <v>6343</v>
      </c>
      <c r="E51" s="573">
        <v>1000</v>
      </c>
      <c r="F51" s="561" t="s">
        <v>2994</v>
      </c>
      <c r="G51" s="571" t="s">
        <v>2931</v>
      </c>
      <c r="H51" s="571" t="s">
        <v>20</v>
      </c>
      <c r="I51" s="571" t="s">
        <v>2932</v>
      </c>
      <c r="J51" s="571">
        <v>43867</v>
      </c>
      <c r="K51" s="574" t="s">
        <v>3803</v>
      </c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</row>
    <row r="52" spans="1:31" ht="15.75" customHeight="1">
      <c r="A52" s="575">
        <v>43971</v>
      </c>
      <c r="B52" s="578" t="s">
        <v>6345</v>
      </c>
      <c r="C52" s="405" t="s">
        <v>3793</v>
      </c>
      <c r="D52" s="561" t="s">
        <v>6343</v>
      </c>
      <c r="E52" s="573">
        <v>7500</v>
      </c>
      <c r="F52" s="561" t="s">
        <v>5056</v>
      </c>
      <c r="G52" s="561" t="s">
        <v>2931</v>
      </c>
      <c r="H52" s="561" t="s">
        <v>20</v>
      </c>
      <c r="I52" s="561" t="s">
        <v>2931</v>
      </c>
      <c r="J52" s="571">
        <v>43749</v>
      </c>
      <c r="K52" s="577" t="s">
        <v>4196</v>
      </c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  <c r="AB52" s="570"/>
      <c r="AC52" s="570"/>
      <c r="AD52" s="570"/>
      <c r="AE52" s="570"/>
    </row>
    <row r="53" spans="1:31" ht="15.75" customHeight="1">
      <c r="A53" s="575">
        <v>43972</v>
      </c>
      <c r="B53" s="576" t="s">
        <v>6363</v>
      </c>
      <c r="C53" s="405" t="s">
        <v>2929</v>
      </c>
      <c r="D53" s="561" t="s">
        <v>6343</v>
      </c>
      <c r="E53" s="573">
        <v>50000</v>
      </c>
      <c r="F53" s="561" t="s">
        <v>3407</v>
      </c>
      <c r="G53" s="571" t="s">
        <v>2931</v>
      </c>
      <c r="H53" s="571" t="s">
        <v>20</v>
      </c>
      <c r="I53" s="571" t="s">
        <v>2932</v>
      </c>
      <c r="J53" s="571">
        <v>43699</v>
      </c>
      <c r="K53" s="574" t="s">
        <v>4196</v>
      </c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</row>
    <row r="54" spans="1:31" ht="15.75" customHeight="1">
      <c r="A54" s="575">
        <v>43973</v>
      </c>
      <c r="B54" s="578" t="s">
        <v>6354</v>
      </c>
      <c r="C54" s="405" t="s">
        <v>3793</v>
      </c>
      <c r="D54" s="561" t="s">
        <v>6343</v>
      </c>
      <c r="E54" s="573">
        <v>20000</v>
      </c>
      <c r="F54" s="561" t="s">
        <v>4673</v>
      </c>
      <c r="G54" s="561" t="s">
        <v>2931</v>
      </c>
      <c r="H54" s="561" t="s">
        <v>20</v>
      </c>
      <c r="I54" s="561" t="s">
        <v>2931</v>
      </c>
      <c r="J54" s="571">
        <v>44252</v>
      </c>
      <c r="K54" s="577" t="s">
        <v>3813</v>
      </c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  <c r="AB54" s="570"/>
      <c r="AC54" s="570"/>
      <c r="AD54" s="570"/>
      <c r="AE54" s="570"/>
    </row>
    <row r="55" spans="1:31" ht="15.75" customHeight="1">
      <c r="A55" s="575">
        <v>43973</v>
      </c>
      <c r="B55" s="576" t="s">
        <v>3702</v>
      </c>
      <c r="C55" s="405" t="s">
        <v>6368</v>
      </c>
      <c r="D55" s="561" t="s">
        <v>6343</v>
      </c>
      <c r="E55" s="573">
        <v>10000</v>
      </c>
      <c r="F55" s="561" t="s">
        <v>3701</v>
      </c>
      <c r="G55" s="561" t="s">
        <v>19</v>
      </c>
      <c r="H55" s="561" t="s">
        <v>20</v>
      </c>
      <c r="I55" s="561" t="s">
        <v>2518</v>
      </c>
      <c r="J55" s="571">
        <v>43797</v>
      </c>
      <c r="K55" s="574" t="s">
        <v>3813</v>
      </c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</row>
    <row r="56" spans="1:31" ht="15.75" customHeight="1">
      <c r="A56" s="575">
        <v>43976</v>
      </c>
      <c r="B56" s="576" t="s">
        <v>6357</v>
      </c>
      <c r="C56" s="405" t="s">
        <v>2929</v>
      </c>
      <c r="D56" s="561" t="s">
        <v>6343</v>
      </c>
      <c r="E56" s="573">
        <v>973440.75</v>
      </c>
      <c r="F56" s="561" t="s">
        <v>3243</v>
      </c>
      <c r="G56" s="571" t="s">
        <v>2931</v>
      </c>
      <c r="H56" s="571" t="s">
        <v>20</v>
      </c>
      <c r="I56" s="571" t="s">
        <v>2938</v>
      </c>
      <c r="J56" s="571">
        <v>43559</v>
      </c>
      <c r="K56" s="574" t="s">
        <v>4196</v>
      </c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</row>
    <row r="57" spans="1:31" ht="15.75" customHeight="1">
      <c r="A57" s="575">
        <v>43977</v>
      </c>
      <c r="B57" s="576" t="s">
        <v>6349</v>
      </c>
      <c r="C57" s="405" t="s">
        <v>2929</v>
      </c>
      <c r="D57" s="561" t="s">
        <v>6343</v>
      </c>
      <c r="E57" s="573">
        <v>7000</v>
      </c>
      <c r="F57" s="561" t="s">
        <v>3198</v>
      </c>
      <c r="G57" s="571" t="s">
        <v>2931</v>
      </c>
      <c r="H57" s="571" t="s">
        <v>20</v>
      </c>
      <c r="I57" s="571" t="s">
        <v>2932</v>
      </c>
      <c r="J57" s="571">
        <v>43703</v>
      </c>
      <c r="K57" s="574" t="s">
        <v>4196</v>
      </c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</row>
    <row r="58" spans="1:31" ht="15.75" customHeight="1">
      <c r="A58" s="575">
        <v>43978</v>
      </c>
      <c r="B58" s="576" t="s">
        <v>6365</v>
      </c>
      <c r="C58" s="405" t="s">
        <v>2929</v>
      </c>
      <c r="D58" s="561" t="s">
        <v>6343</v>
      </c>
      <c r="E58" s="573">
        <v>180000</v>
      </c>
      <c r="F58" s="561" t="s">
        <v>3452</v>
      </c>
      <c r="G58" s="571" t="s">
        <v>2931</v>
      </c>
      <c r="H58" s="571" t="s">
        <v>20</v>
      </c>
      <c r="I58" s="571" t="s">
        <v>2932</v>
      </c>
      <c r="J58" s="571">
        <v>43894</v>
      </c>
      <c r="K58" s="574" t="s">
        <v>3813</v>
      </c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</row>
    <row r="59" spans="1:31" ht="15.75" customHeight="1">
      <c r="A59" s="575">
        <v>43980</v>
      </c>
      <c r="B59" s="578" t="s">
        <v>6356</v>
      </c>
      <c r="C59" s="405" t="s">
        <v>2929</v>
      </c>
      <c r="D59" s="561" t="s">
        <v>6343</v>
      </c>
      <c r="E59" s="573">
        <v>10701</v>
      </c>
      <c r="F59" s="561" t="s">
        <v>3261</v>
      </c>
      <c r="G59" s="571" t="s">
        <v>2931</v>
      </c>
      <c r="H59" s="571" t="s">
        <v>20</v>
      </c>
      <c r="I59" s="571" t="s">
        <v>2938</v>
      </c>
      <c r="J59" s="571">
        <v>43664</v>
      </c>
      <c r="K59" s="574" t="s">
        <v>4196</v>
      </c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</row>
    <row r="60" spans="1:31" ht="15.75" customHeight="1">
      <c r="A60" s="575">
        <v>43984</v>
      </c>
      <c r="B60" s="576" t="s">
        <v>6367</v>
      </c>
      <c r="C60" s="405" t="s">
        <v>2929</v>
      </c>
      <c r="D60" s="561" t="s">
        <v>6343</v>
      </c>
      <c r="E60" s="573">
        <v>2000</v>
      </c>
      <c r="F60" s="561" t="s">
        <v>2994</v>
      </c>
      <c r="G60" s="571" t="s">
        <v>2931</v>
      </c>
      <c r="H60" s="571" t="s">
        <v>20</v>
      </c>
      <c r="I60" s="571" t="s">
        <v>2932</v>
      </c>
      <c r="J60" s="571">
        <v>43867</v>
      </c>
      <c r="K60" s="574" t="s">
        <v>3803</v>
      </c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</row>
    <row r="61" spans="1:31" ht="15.75" customHeight="1">
      <c r="A61" s="575">
        <v>43984</v>
      </c>
      <c r="B61" s="576" t="s">
        <v>6363</v>
      </c>
      <c r="C61" s="405" t="s">
        <v>2929</v>
      </c>
      <c r="D61" s="561" t="s">
        <v>6343</v>
      </c>
      <c r="E61" s="573">
        <v>200000</v>
      </c>
      <c r="F61" s="561" t="s">
        <v>3407</v>
      </c>
      <c r="G61" s="571" t="s">
        <v>2931</v>
      </c>
      <c r="H61" s="571" t="s">
        <v>20</v>
      </c>
      <c r="I61" s="571" t="s">
        <v>2932</v>
      </c>
      <c r="J61" s="571">
        <v>43699</v>
      </c>
      <c r="K61" s="574" t="s">
        <v>4196</v>
      </c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</row>
    <row r="62" spans="1:31" ht="15.75" customHeight="1">
      <c r="A62" s="575">
        <v>43985</v>
      </c>
      <c r="B62" s="576" t="s">
        <v>6349</v>
      </c>
      <c r="C62" s="405" t="s">
        <v>2929</v>
      </c>
      <c r="D62" s="561" t="s">
        <v>6343</v>
      </c>
      <c r="E62" s="573">
        <v>6000</v>
      </c>
      <c r="F62" s="561" t="s">
        <v>3198</v>
      </c>
      <c r="G62" s="571" t="s">
        <v>2931</v>
      </c>
      <c r="H62" s="571" t="s">
        <v>20</v>
      </c>
      <c r="I62" s="571" t="s">
        <v>2932</v>
      </c>
      <c r="J62" s="571">
        <v>43703</v>
      </c>
      <c r="K62" s="574" t="s">
        <v>4196</v>
      </c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</row>
    <row r="63" spans="1:31" ht="15.75" customHeight="1">
      <c r="A63" s="575">
        <v>43987</v>
      </c>
      <c r="B63" s="578" t="s">
        <v>6357</v>
      </c>
      <c r="C63" s="405" t="s">
        <v>2929</v>
      </c>
      <c r="D63" s="561" t="s">
        <v>6343</v>
      </c>
      <c r="E63" s="573">
        <v>10000</v>
      </c>
      <c r="F63" s="561" t="s">
        <v>3243</v>
      </c>
      <c r="G63" s="571" t="s">
        <v>2931</v>
      </c>
      <c r="H63" s="571" t="s">
        <v>20</v>
      </c>
      <c r="I63" s="571" t="s">
        <v>2938</v>
      </c>
      <c r="J63" s="571">
        <v>43559</v>
      </c>
      <c r="K63" s="574" t="s">
        <v>4196</v>
      </c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</row>
    <row r="64" spans="1:31" ht="15.75" customHeight="1">
      <c r="A64" s="575">
        <v>43990</v>
      </c>
      <c r="B64" s="576" t="s">
        <v>6369</v>
      </c>
      <c r="C64" s="405" t="s">
        <v>2929</v>
      </c>
      <c r="D64" s="561" t="s">
        <v>6343</v>
      </c>
      <c r="E64" s="573">
        <v>20000</v>
      </c>
      <c r="F64" s="561" t="s">
        <v>3487</v>
      </c>
      <c r="G64" s="571" t="s">
        <v>2931</v>
      </c>
      <c r="H64" s="571" t="s">
        <v>20</v>
      </c>
      <c r="I64" s="571" t="s">
        <v>2938</v>
      </c>
      <c r="J64" s="571">
        <v>43607</v>
      </c>
      <c r="K64" s="574" t="s">
        <v>4196</v>
      </c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</row>
    <row r="65" spans="1:31" ht="15.75" customHeight="1">
      <c r="A65" s="575">
        <v>43991</v>
      </c>
      <c r="B65" s="576" t="s">
        <v>6370</v>
      </c>
      <c r="C65" s="405" t="s">
        <v>2929</v>
      </c>
      <c r="D65" s="561" t="s">
        <v>6343</v>
      </c>
      <c r="E65" s="573">
        <v>6000</v>
      </c>
      <c r="F65" s="561" t="s">
        <v>3356</v>
      </c>
      <c r="G65" s="571" t="s">
        <v>2931</v>
      </c>
      <c r="H65" s="571" t="s">
        <v>20</v>
      </c>
      <c r="I65" s="571" t="s">
        <v>2932</v>
      </c>
      <c r="J65" s="571">
        <v>43564</v>
      </c>
      <c r="K65" s="574" t="s">
        <v>3817</v>
      </c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</row>
    <row r="66" spans="1:31" ht="15.75" customHeight="1">
      <c r="A66" s="575">
        <v>43991</v>
      </c>
      <c r="B66" s="578" t="s">
        <v>6365</v>
      </c>
      <c r="C66" s="405" t="s">
        <v>2929</v>
      </c>
      <c r="D66" s="561" t="s">
        <v>6343</v>
      </c>
      <c r="E66" s="573">
        <v>3000</v>
      </c>
      <c r="F66" s="561" t="s">
        <v>3452</v>
      </c>
      <c r="G66" s="571" t="s">
        <v>2931</v>
      </c>
      <c r="H66" s="571" t="s">
        <v>20</v>
      </c>
      <c r="I66" s="571" t="s">
        <v>2932</v>
      </c>
      <c r="J66" s="571">
        <v>43894</v>
      </c>
      <c r="K66" s="574" t="s">
        <v>3813</v>
      </c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</row>
    <row r="67" spans="1:31" ht="15.75" customHeight="1">
      <c r="A67" s="575">
        <v>43994</v>
      </c>
      <c r="B67" s="576" t="s">
        <v>6371</v>
      </c>
      <c r="C67" s="405" t="s">
        <v>3793</v>
      </c>
      <c r="D67" s="561" t="s">
        <v>6343</v>
      </c>
      <c r="E67" s="573">
        <v>14000</v>
      </c>
      <c r="F67" s="561" t="s">
        <v>5318</v>
      </c>
      <c r="G67" s="561" t="s">
        <v>2931</v>
      </c>
      <c r="H67" s="561" t="s">
        <v>20</v>
      </c>
      <c r="I67" s="561" t="s">
        <v>2931</v>
      </c>
      <c r="J67" s="571">
        <v>44216</v>
      </c>
      <c r="K67" s="577" t="s">
        <v>3803</v>
      </c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</row>
    <row r="68" spans="1:31" ht="15.75" customHeight="1">
      <c r="A68" s="571">
        <v>43997</v>
      </c>
      <c r="B68" s="572" t="s">
        <v>6359</v>
      </c>
      <c r="C68" s="561" t="s">
        <v>2929</v>
      </c>
      <c r="D68" s="561" t="s">
        <v>956</v>
      </c>
      <c r="E68" s="573">
        <v>0</v>
      </c>
      <c r="F68" s="561" t="s">
        <v>3068</v>
      </c>
      <c r="G68" s="571" t="s">
        <v>2931</v>
      </c>
      <c r="H68" s="571" t="s">
        <v>20</v>
      </c>
      <c r="I68" s="571" t="s">
        <v>2932</v>
      </c>
      <c r="J68" s="571">
        <v>43453</v>
      </c>
      <c r="K68" s="574" t="s">
        <v>3817</v>
      </c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</row>
    <row r="69" spans="1:31" ht="15.75" customHeight="1">
      <c r="A69" s="571">
        <v>43997</v>
      </c>
      <c r="B69" s="572" t="s">
        <v>6372</v>
      </c>
      <c r="C69" s="561" t="s">
        <v>2929</v>
      </c>
      <c r="D69" s="561" t="s">
        <v>956</v>
      </c>
      <c r="E69" s="573">
        <v>76468.36</v>
      </c>
      <c r="F69" s="561" t="s">
        <v>3319</v>
      </c>
      <c r="G69" s="571" t="s">
        <v>2931</v>
      </c>
      <c r="H69" s="571" t="s">
        <v>20</v>
      </c>
      <c r="I69" s="571" t="s">
        <v>2938</v>
      </c>
      <c r="J69" s="571">
        <v>43853</v>
      </c>
      <c r="K69" s="574" t="s">
        <v>3813</v>
      </c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</row>
    <row r="70" spans="1:31" ht="15.75" customHeight="1">
      <c r="A70" s="571">
        <v>43998</v>
      </c>
      <c r="B70" s="572" t="s">
        <v>6373</v>
      </c>
      <c r="C70" s="561" t="s">
        <v>2929</v>
      </c>
      <c r="D70" s="561" t="s">
        <v>956</v>
      </c>
      <c r="E70" s="573">
        <v>36013.410000000003</v>
      </c>
      <c r="F70" s="561" t="s">
        <v>3068</v>
      </c>
      <c r="G70" s="571" t="s">
        <v>2931</v>
      </c>
      <c r="H70" s="571" t="s">
        <v>20</v>
      </c>
      <c r="I70" s="571" t="s">
        <v>2932</v>
      </c>
      <c r="J70" s="571">
        <v>43997</v>
      </c>
      <c r="K70" s="574" t="s">
        <v>3803</v>
      </c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</row>
    <row r="71" spans="1:31" ht="15.75" customHeight="1">
      <c r="A71" s="575">
        <v>43999</v>
      </c>
      <c r="B71" s="576" t="s">
        <v>6364</v>
      </c>
      <c r="C71" s="405" t="s">
        <v>2929</v>
      </c>
      <c r="D71" s="561" t="s">
        <v>6343</v>
      </c>
      <c r="E71" s="573">
        <v>100000</v>
      </c>
      <c r="F71" s="561" t="s">
        <v>3516</v>
      </c>
      <c r="G71" s="571" t="s">
        <v>2931</v>
      </c>
      <c r="H71" s="571" t="s">
        <v>20</v>
      </c>
      <c r="I71" s="571" t="s">
        <v>2932</v>
      </c>
      <c r="J71" s="571">
        <v>43717</v>
      </c>
      <c r="K71" s="574" t="s">
        <v>4196</v>
      </c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</row>
    <row r="72" spans="1:31" ht="15.75" customHeight="1">
      <c r="A72" s="575">
        <v>43999</v>
      </c>
      <c r="B72" s="576" t="s">
        <v>6363</v>
      </c>
      <c r="C72" s="405" t="s">
        <v>2929</v>
      </c>
      <c r="D72" s="561" t="s">
        <v>6343</v>
      </c>
      <c r="E72" s="573">
        <v>10000</v>
      </c>
      <c r="F72" s="561" t="s">
        <v>3407</v>
      </c>
      <c r="G72" s="571" t="s">
        <v>2931</v>
      </c>
      <c r="H72" s="571" t="s">
        <v>20</v>
      </c>
      <c r="I72" s="571" t="s">
        <v>2932</v>
      </c>
      <c r="J72" s="571">
        <v>43699</v>
      </c>
      <c r="K72" s="574" t="s">
        <v>4196</v>
      </c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</row>
    <row r="73" spans="1:31" ht="15.75" customHeight="1">
      <c r="A73" s="575">
        <v>43999</v>
      </c>
      <c r="B73" s="578" t="s">
        <v>6370</v>
      </c>
      <c r="C73" s="405" t="s">
        <v>2929</v>
      </c>
      <c r="D73" s="561" t="s">
        <v>6343</v>
      </c>
      <c r="E73" s="573">
        <v>7000</v>
      </c>
      <c r="F73" s="561" t="s">
        <v>3356</v>
      </c>
      <c r="G73" s="571" t="s">
        <v>2931</v>
      </c>
      <c r="H73" s="571" t="s">
        <v>20</v>
      </c>
      <c r="I73" s="571" t="s">
        <v>2932</v>
      </c>
      <c r="J73" s="571">
        <v>43564</v>
      </c>
      <c r="K73" s="574" t="s">
        <v>3817</v>
      </c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</row>
    <row r="74" spans="1:31" ht="15.75" customHeight="1">
      <c r="A74" s="575">
        <v>44004</v>
      </c>
      <c r="B74" s="576" t="s">
        <v>6370</v>
      </c>
      <c r="C74" s="405" t="s">
        <v>2929</v>
      </c>
      <c r="D74" s="561" t="s">
        <v>6343</v>
      </c>
      <c r="E74" s="573">
        <v>9000</v>
      </c>
      <c r="F74" s="561" t="s">
        <v>3356</v>
      </c>
      <c r="G74" s="571" t="s">
        <v>2931</v>
      </c>
      <c r="H74" s="571" t="s">
        <v>20</v>
      </c>
      <c r="I74" s="571" t="s">
        <v>2932</v>
      </c>
      <c r="J74" s="571">
        <v>43564</v>
      </c>
      <c r="K74" s="574" t="s">
        <v>3817</v>
      </c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</row>
    <row r="75" spans="1:31" ht="15.75" customHeight="1">
      <c r="A75" s="575">
        <v>44004</v>
      </c>
      <c r="B75" s="578" t="s">
        <v>6357</v>
      </c>
      <c r="C75" s="405" t="s">
        <v>2929</v>
      </c>
      <c r="D75" s="561" t="s">
        <v>6343</v>
      </c>
      <c r="E75" s="573">
        <v>10000</v>
      </c>
      <c r="F75" s="561" t="s">
        <v>3243</v>
      </c>
      <c r="G75" s="571" t="s">
        <v>2931</v>
      </c>
      <c r="H75" s="571" t="s">
        <v>20</v>
      </c>
      <c r="I75" s="571" t="s">
        <v>2938</v>
      </c>
      <c r="J75" s="571">
        <v>43559</v>
      </c>
      <c r="K75" s="574" t="s">
        <v>4196</v>
      </c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</row>
    <row r="76" spans="1:31" ht="15.75" customHeight="1">
      <c r="A76" s="571">
        <v>44007</v>
      </c>
      <c r="B76" s="572" t="s">
        <v>6374</v>
      </c>
      <c r="C76" s="561" t="s">
        <v>2929</v>
      </c>
      <c r="D76" s="561" t="s">
        <v>956</v>
      </c>
      <c r="E76" s="573">
        <v>120144.24</v>
      </c>
      <c r="F76" s="561" t="s">
        <v>3220</v>
      </c>
      <c r="G76" s="571" t="s">
        <v>2931</v>
      </c>
      <c r="H76" s="571" t="s">
        <v>20</v>
      </c>
      <c r="I76" s="571" t="s">
        <v>2938</v>
      </c>
      <c r="J76" s="571">
        <v>43822</v>
      </c>
      <c r="K76" s="574" t="s">
        <v>3803</v>
      </c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</row>
    <row r="77" spans="1:31" ht="15.75" customHeight="1">
      <c r="A77" s="575">
        <v>44007</v>
      </c>
      <c r="B77" s="576" t="s">
        <v>6365</v>
      </c>
      <c r="C77" s="405" t="s">
        <v>2929</v>
      </c>
      <c r="D77" s="561" t="s">
        <v>6343</v>
      </c>
      <c r="E77" s="573">
        <v>160000</v>
      </c>
      <c r="F77" s="561" t="s">
        <v>3452</v>
      </c>
      <c r="G77" s="571" t="s">
        <v>2931</v>
      </c>
      <c r="H77" s="571" t="s">
        <v>20</v>
      </c>
      <c r="I77" s="571" t="s">
        <v>2932</v>
      </c>
      <c r="J77" s="571">
        <v>43894</v>
      </c>
      <c r="K77" s="574" t="s">
        <v>3813</v>
      </c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</row>
    <row r="78" spans="1:31" ht="15.75" customHeight="1">
      <c r="A78" s="575">
        <v>44007</v>
      </c>
      <c r="B78" s="576" t="s">
        <v>6351</v>
      </c>
      <c r="C78" s="405" t="s">
        <v>2929</v>
      </c>
      <c r="D78" s="561" t="s">
        <v>6343</v>
      </c>
      <c r="E78" s="573">
        <v>2500</v>
      </c>
      <c r="F78" s="561" t="s">
        <v>3235</v>
      </c>
      <c r="G78" s="571" t="s">
        <v>2931</v>
      </c>
      <c r="H78" s="571" t="s">
        <v>20</v>
      </c>
      <c r="I78" s="571" t="s">
        <v>2932</v>
      </c>
      <c r="J78" s="571">
        <v>43605</v>
      </c>
      <c r="K78" s="574" t="s">
        <v>3813</v>
      </c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</row>
    <row r="79" spans="1:31" ht="15.75" customHeight="1">
      <c r="A79" s="575">
        <v>44008</v>
      </c>
      <c r="B79" s="576" t="s">
        <v>6349</v>
      </c>
      <c r="C79" s="405" t="s">
        <v>2929</v>
      </c>
      <c r="D79" s="561" t="s">
        <v>6343</v>
      </c>
      <c r="E79" s="573">
        <v>11000</v>
      </c>
      <c r="F79" s="561" t="s">
        <v>3198</v>
      </c>
      <c r="G79" s="571" t="s">
        <v>2931</v>
      </c>
      <c r="H79" s="571" t="s">
        <v>20</v>
      </c>
      <c r="I79" s="571" t="s">
        <v>2932</v>
      </c>
      <c r="J79" s="571">
        <v>43703</v>
      </c>
      <c r="K79" s="574" t="s">
        <v>4196</v>
      </c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</row>
    <row r="80" spans="1:31" ht="15.75" customHeight="1">
      <c r="A80" s="571">
        <v>44011</v>
      </c>
      <c r="B80" s="572" t="s">
        <v>6371</v>
      </c>
      <c r="C80" s="561" t="s">
        <v>3793</v>
      </c>
      <c r="D80" s="561" t="s">
        <v>956</v>
      </c>
      <c r="E80" s="573">
        <v>0</v>
      </c>
      <c r="F80" s="561" t="s">
        <v>5318</v>
      </c>
      <c r="G80" s="561" t="s">
        <v>2931</v>
      </c>
      <c r="H80" s="561" t="s">
        <v>20</v>
      </c>
      <c r="I80" s="561" t="s">
        <v>2931</v>
      </c>
      <c r="J80" s="571">
        <v>44216</v>
      </c>
      <c r="K80" s="577" t="s">
        <v>3803</v>
      </c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</row>
    <row r="81" spans="1:31" ht="15.75" customHeight="1">
      <c r="A81" s="575">
        <v>44012</v>
      </c>
      <c r="B81" s="576" t="s">
        <v>6375</v>
      </c>
      <c r="C81" s="405" t="s">
        <v>2929</v>
      </c>
      <c r="D81" s="561" t="s">
        <v>6343</v>
      </c>
      <c r="E81" s="573">
        <v>36000</v>
      </c>
      <c r="F81" s="561" t="s">
        <v>3171</v>
      </c>
      <c r="G81" s="571" t="s">
        <v>2931</v>
      </c>
      <c r="H81" s="571" t="s">
        <v>20</v>
      </c>
      <c r="I81" s="571" t="s">
        <v>2932</v>
      </c>
      <c r="J81" s="571">
        <v>43888</v>
      </c>
      <c r="K81" s="574" t="s">
        <v>3803</v>
      </c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</row>
    <row r="82" spans="1:31" ht="15.75" customHeight="1">
      <c r="A82" s="575">
        <v>44014</v>
      </c>
      <c r="B82" s="576" t="s">
        <v>6357</v>
      </c>
      <c r="C82" s="405" t="s">
        <v>2929</v>
      </c>
      <c r="D82" s="561" t="s">
        <v>6343</v>
      </c>
      <c r="E82" s="573">
        <v>100000</v>
      </c>
      <c r="F82" s="561" t="s">
        <v>3243</v>
      </c>
      <c r="G82" s="571" t="s">
        <v>2931</v>
      </c>
      <c r="H82" s="571" t="s">
        <v>20</v>
      </c>
      <c r="I82" s="571" t="s">
        <v>2938</v>
      </c>
      <c r="J82" s="571">
        <v>43559</v>
      </c>
      <c r="K82" s="574" t="s">
        <v>4196</v>
      </c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</row>
    <row r="83" spans="1:31" ht="15.75" customHeight="1">
      <c r="A83" s="575">
        <v>44022</v>
      </c>
      <c r="B83" s="576" t="s">
        <v>3702</v>
      </c>
      <c r="C83" s="405" t="s">
        <v>3613</v>
      </c>
      <c r="D83" s="561" t="s">
        <v>6343</v>
      </c>
      <c r="E83" s="573">
        <v>100000</v>
      </c>
      <c r="F83" s="561" t="s">
        <v>3701</v>
      </c>
      <c r="G83" s="571" t="s">
        <v>19</v>
      </c>
      <c r="H83" s="571" t="s">
        <v>20</v>
      </c>
      <c r="I83" s="571" t="s">
        <v>2518</v>
      </c>
      <c r="J83" s="571">
        <v>43797</v>
      </c>
      <c r="K83" s="574" t="s">
        <v>3813</v>
      </c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</row>
    <row r="84" spans="1:31" ht="15.75" customHeight="1">
      <c r="A84" s="575">
        <v>44022</v>
      </c>
      <c r="B84" s="576" t="s">
        <v>6376</v>
      </c>
      <c r="C84" s="405" t="s">
        <v>2929</v>
      </c>
      <c r="D84" s="561" t="s">
        <v>6343</v>
      </c>
      <c r="E84" s="573">
        <v>40078.019999999997</v>
      </c>
      <c r="F84" s="561" t="s">
        <v>3462</v>
      </c>
      <c r="G84" s="571" t="s">
        <v>2931</v>
      </c>
      <c r="H84" s="571" t="s">
        <v>20</v>
      </c>
      <c r="I84" s="571" t="s">
        <v>2932</v>
      </c>
      <c r="J84" s="571">
        <v>43840</v>
      </c>
      <c r="K84" s="574" t="s">
        <v>3813</v>
      </c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</row>
    <row r="85" spans="1:31" ht="15.75" customHeight="1">
      <c r="A85" s="575">
        <v>44023</v>
      </c>
      <c r="B85" s="576" t="s">
        <v>6377</v>
      </c>
      <c r="C85" s="405" t="s">
        <v>2929</v>
      </c>
      <c r="D85" s="561" t="s">
        <v>6343</v>
      </c>
      <c r="E85" s="573">
        <v>46758.86</v>
      </c>
      <c r="F85" s="561" t="s">
        <v>3224</v>
      </c>
      <c r="G85" s="571" t="s">
        <v>2931</v>
      </c>
      <c r="H85" s="571" t="s">
        <v>20</v>
      </c>
      <c r="I85" s="571" t="s">
        <v>2932</v>
      </c>
      <c r="J85" s="571">
        <v>43620</v>
      </c>
      <c r="K85" s="574" t="s">
        <v>3817</v>
      </c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</row>
    <row r="86" spans="1:31" ht="15.75" customHeight="1">
      <c r="A86" s="571">
        <v>44025</v>
      </c>
      <c r="B86" s="572" t="s">
        <v>6378</v>
      </c>
      <c r="C86" s="561" t="s">
        <v>2929</v>
      </c>
      <c r="D86" s="561" t="s">
        <v>956</v>
      </c>
      <c r="E86" s="573">
        <v>0</v>
      </c>
      <c r="F86" s="561" t="s">
        <v>3555</v>
      </c>
      <c r="G86" s="571" t="s">
        <v>2931</v>
      </c>
      <c r="H86" s="571" t="s">
        <v>20</v>
      </c>
      <c r="I86" s="571" t="s">
        <v>2932</v>
      </c>
      <c r="J86" s="571">
        <v>43538</v>
      </c>
      <c r="K86" s="574" t="s">
        <v>4196</v>
      </c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</row>
    <row r="87" spans="1:31" ht="15.75" customHeight="1">
      <c r="A87" s="571">
        <v>44025</v>
      </c>
      <c r="B87" s="572" t="s">
        <v>6379</v>
      </c>
      <c r="C87" s="561" t="s">
        <v>2929</v>
      </c>
      <c r="D87" s="561" t="s">
        <v>956</v>
      </c>
      <c r="E87" s="573">
        <v>0</v>
      </c>
      <c r="F87" s="561" t="s">
        <v>3555</v>
      </c>
      <c r="G87" s="571" t="s">
        <v>2931</v>
      </c>
      <c r="H87" s="571" t="s">
        <v>20</v>
      </c>
      <c r="I87" s="571" t="s">
        <v>2932</v>
      </c>
      <c r="J87" s="571">
        <v>43538</v>
      </c>
      <c r="K87" s="574" t="s">
        <v>3817</v>
      </c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</row>
    <row r="88" spans="1:31" ht="15.75" customHeight="1">
      <c r="A88" s="575">
        <v>44029</v>
      </c>
      <c r="B88" s="576" t="s">
        <v>6365</v>
      </c>
      <c r="C88" s="405" t="s">
        <v>2929</v>
      </c>
      <c r="D88" s="561" t="s">
        <v>6343</v>
      </c>
      <c r="E88" s="573">
        <v>60000</v>
      </c>
      <c r="F88" s="561" t="s">
        <v>3452</v>
      </c>
      <c r="G88" s="571" t="s">
        <v>2931</v>
      </c>
      <c r="H88" s="571" t="s">
        <v>20</v>
      </c>
      <c r="I88" s="571" t="s">
        <v>2932</v>
      </c>
      <c r="J88" s="571">
        <v>43894</v>
      </c>
      <c r="K88" s="574" t="s">
        <v>3813</v>
      </c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</row>
    <row r="89" spans="1:31" ht="15.75" customHeight="1">
      <c r="A89" s="575">
        <v>44032</v>
      </c>
      <c r="B89" s="576" t="s">
        <v>6351</v>
      </c>
      <c r="C89" s="405" t="s">
        <v>2929</v>
      </c>
      <c r="D89" s="561" t="s">
        <v>6343</v>
      </c>
      <c r="E89" s="573">
        <v>211079.19</v>
      </c>
      <c r="F89" s="561" t="s">
        <v>3235</v>
      </c>
      <c r="G89" s="571" t="s">
        <v>2931</v>
      </c>
      <c r="H89" s="571" t="s">
        <v>20</v>
      </c>
      <c r="I89" s="571" t="s">
        <v>2932</v>
      </c>
      <c r="J89" s="571">
        <v>43605</v>
      </c>
      <c r="K89" s="574" t="s">
        <v>3813</v>
      </c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</row>
    <row r="90" spans="1:31" ht="15.75" customHeight="1">
      <c r="A90" s="575">
        <v>44032</v>
      </c>
      <c r="B90" s="576" t="s">
        <v>6380</v>
      </c>
      <c r="C90" s="405" t="s">
        <v>2929</v>
      </c>
      <c r="D90" s="561" t="s">
        <v>6343</v>
      </c>
      <c r="E90" s="573">
        <v>7000</v>
      </c>
      <c r="F90" s="561" t="s">
        <v>3298</v>
      </c>
      <c r="G90" s="571" t="s">
        <v>2931</v>
      </c>
      <c r="H90" s="571" t="s">
        <v>20</v>
      </c>
      <c r="I90" s="571" t="s">
        <v>2932</v>
      </c>
      <c r="J90" s="571">
        <v>43732</v>
      </c>
      <c r="K90" s="574" t="s">
        <v>4196</v>
      </c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</row>
    <row r="91" spans="1:31" ht="15.75" customHeight="1">
      <c r="A91" s="575">
        <v>44032</v>
      </c>
      <c r="B91" s="576" t="s">
        <v>6381</v>
      </c>
      <c r="C91" s="405" t="s">
        <v>2929</v>
      </c>
      <c r="D91" s="561" t="s">
        <v>6343</v>
      </c>
      <c r="E91" s="573">
        <v>14000</v>
      </c>
      <c r="F91" s="561" t="s">
        <v>3309</v>
      </c>
      <c r="G91" s="571" t="s">
        <v>2931</v>
      </c>
      <c r="H91" s="571" t="s">
        <v>20</v>
      </c>
      <c r="I91" s="571" t="s">
        <v>2932</v>
      </c>
      <c r="J91" s="571">
        <v>43620</v>
      </c>
      <c r="K91" s="574" t="s">
        <v>3803</v>
      </c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</row>
    <row r="92" spans="1:31" ht="15.75" customHeight="1">
      <c r="A92" s="575">
        <v>44032</v>
      </c>
      <c r="B92" s="576" t="s">
        <v>6382</v>
      </c>
      <c r="C92" s="405" t="s">
        <v>3793</v>
      </c>
      <c r="D92" s="561" t="s">
        <v>6343</v>
      </c>
      <c r="E92" s="573">
        <v>10000</v>
      </c>
      <c r="F92" s="561" t="s">
        <v>3309</v>
      </c>
      <c r="G92" s="561" t="s">
        <v>2931</v>
      </c>
      <c r="H92" s="561" t="s">
        <v>20</v>
      </c>
      <c r="I92" s="561" t="s">
        <v>2931</v>
      </c>
      <c r="J92" s="571">
        <v>43700</v>
      </c>
      <c r="K92" s="577" t="s">
        <v>3803</v>
      </c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</row>
    <row r="93" spans="1:31" ht="15.75" customHeight="1">
      <c r="A93" s="575">
        <v>44033</v>
      </c>
      <c r="B93" s="578" t="s">
        <v>6366</v>
      </c>
      <c r="C93" s="405" t="s">
        <v>2929</v>
      </c>
      <c r="D93" s="561" t="s">
        <v>921</v>
      </c>
      <c r="E93" s="573">
        <v>30000</v>
      </c>
      <c r="F93" s="561" t="s">
        <v>3106</v>
      </c>
      <c r="G93" s="571" t="s">
        <v>2931</v>
      </c>
      <c r="H93" s="571" t="s">
        <v>20</v>
      </c>
      <c r="I93" s="571" t="s">
        <v>2938</v>
      </c>
      <c r="J93" s="571">
        <v>43913</v>
      </c>
      <c r="K93" s="574" t="s">
        <v>3803</v>
      </c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</row>
    <row r="94" spans="1:31" ht="15.75" customHeight="1">
      <c r="A94" s="575">
        <v>44034</v>
      </c>
      <c r="B94" s="576" t="s">
        <v>6383</v>
      </c>
      <c r="C94" s="405" t="s">
        <v>2929</v>
      </c>
      <c r="D94" s="561" t="s">
        <v>921</v>
      </c>
      <c r="E94" s="573">
        <v>20000</v>
      </c>
      <c r="F94" s="561" t="s">
        <v>3399</v>
      </c>
      <c r="G94" s="571" t="s">
        <v>2997</v>
      </c>
      <c r="H94" s="571" t="s">
        <v>20</v>
      </c>
      <c r="I94" s="571" t="s">
        <v>2997</v>
      </c>
      <c r="J94" s="571">
        <v>43441</v>
      </c>
      <c r="K94" s="574" t="s">
        <v>3817</v>
      </c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</row>
    <row r="95" spans="1:31" ht="15.75" customHeight="1">
      <c r="A95" s="575">
        <v>44036</v>
      </c>
      <c r="B95" s="576" t="s">
        <v>6381</v>
      </c>
      <c r="C95" s="405" t="s">
        <v>2929</v>
      </c>
      <c r="D95" s="561" t="s">
        <v>6343</v>
      </c>
      <c r="E95" s="573">
        <v>3500</v>
      </c>
      <c r="F95" s="561" t="s">
        <v>3309</v>
      </c>
      <c r="G95" s="571" t="s">
        <v>2931</v>
      </c>
      <c r="H95" s="571" t="s">
        <v>20</v>
      </c>
      <c r="I95" s="571" t="s">
        <v>2932</v>
      </c>
      <c r="J95" s="571">
        <v>43620</v>
      </c>
      <c r="K95" s="574" t="s">
        <v>3803</v>
      </c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</row>
    <row r="96" spans="1:31" ht="15.75" customHeight="1">
      <c r="A96" s="575">
        <v>44036</v>
      </c>
      <c r="B96" s="578" t="s">
        <v>6377</v>
      </c>
      <c r="C96" s="405" t="s">
        <v>2929</v>
      </c>
      <c r="D96" s="561" t="s">
        <v>921</v>
      </c>
      <c r="E96" s="573">
        <v>7000</v>
      </c>
      <c r="F96" s="561" t="s">
        <v>3224</v>
      </c>
      <c r="G96" s="571" t="s">
        <v>2931</v>
      </c>
      <c r="H96" s="571" t="s">
        <v>20</v>
      </c>
      <c r="I96" s="571" t="s">
        <v>2932</v>
      </c>
      <c r="J96" s="571">
        <v>43620</v>
      </c>
      <c r="K96" s="574" t="s">
        <v>3817</v>
      </c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</row>
    <row r="97" spans="1:31" ht="15.75" customHeight="1">
      <c r="A97" s="575">
        <v>44039</v>
      </c>
      <c r="B97" s="576" t="s">
        <v>6376</v>
      </c>
      <c r="C97" s="405" t="s">
        <v>2929</v>
      </c>
      <c r="D97" s="561" t="s">
        <v>6343</v>
      </c>
      <c r="E97" s="573">
        <v>20000</v>
      </c>
      <c r="F97" s="561" t="s">
        <v>3462</v>
      </c>
      <c r="G97" s="571" t="s">
        <v>2931</v>
      </c>
      <c r="H97" s="571" t="s">
        <v>20</v>
      </c>
      <c r="I97" s="571" t="s">
        <v>2932</v>
      </c>
      <c r="J97" s="571">
        <v>43840</v>
      </c>
      <c r="K97" s="574" t="s">
        <v>3813</v>
      </c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</row>
    <row r="98" spans="1:31" ht="15.75" customHeight="1">
      <c r="A98" s="575">
        <v>44039</v>
      </c>
      <c r="B98" s="578" t="s">
        <v>6351</v>
      </c>
      <c r="C98" s="405" t="s">
        <v>2929</v>
      </c>
      <c r="D98" s="561" t="s">
        <v>6343</v>
      </c>
      <c r="E98" s="573">
        <v>5000</v>
      </c>
      <c r="F98" s="561" t="s">
        <v>3235</v>
      </c>
      <c r="G98" s="571" t="s">
        <v>2931</v>
      </c>
      <c r="H98" s="571" t="s">
        <v>20</v>
      </c>
      <c r="I98" s="571" t="s">
        <v>2932</v>
      </c>
      <c r="J98" s="571">
        <v>43605</v>
      </c>
      <c r="K98" s="574" t="s">
        <v>3813</v>
      </c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</row>
    <row r="99" spans="1:31" ht="15.75" customHeight="1">
      <c r="A99" s="575">
        <v>44040</v>
      </c>
      <c r="B99" s="576" t="s">
        <v>6349</v>
      </c>
      <c r="C99" s="405" t="s">
        <v>2929</v>
      </c>
      <c r="D99" s="561" t="s">
        <v>6343</v>
      </c>
      <c r="E99" s="573">
        <v>10000</v>
      </c>
      <c r="F99" s="561" t="s">
        <v>3198</v>
      </c>
      <c r="G99" s="571" t="s">
        <v>2931</v>
      </c>
      <c r="H99" s="571" t="s">
        <v>20</v>
      </c>
      <c r="I99" s="571" t="s">
        <v>2932</v>
      </c>
      <c r="J99" s="571">
        <v>43703</v>
      </c>
      <c r="K99" s="574" t="s">
        <v>4196</v>
      </c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</row>
    <row r="100" spans="1:31" ht="15.75" customHeight="1">
      <c r="A100" s="571">
        <v>44041</v>
      </c>
      <c r="B100" s="572" t="s">
        <v>6384</v>
      </c>
      <c r="C100" s="561" t="s">
        <v>2929</v>
      </c>
      <c r="D100" s="561" t="s">
        <v>956</v>
      </c>
      <c r="E100" s="573">
        <v>0</v>
      </c>
      <c r="F100" s="561" t="s">
        <v>6385</v>
      </c>
      <c r="G100" s="571"/>
      <c r="H100" s="571"/>
      <c r="I100" s="571"/>
      <c r="J100" s="571"/>
      <c r="K100" s="574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</row>
    <row r="101" spans="1:31" ht="15.75" customHeight="1">
      <c r="A101" s="575">
        <v>44041</v>
      </c>
      <c r="B101" s="578" t="s">
        <v>6375</v>
      </c>
      <c r="C101" s="405" t="s">
        <v>2929</v>
      </c>
      <c r="D101" s="561" t="s">
        <v>6343</v>
      </c>
      <c r="E101" s="573">
        <v>151239.98000000001</v>
      </c>
      <c r="F101" s="561" t="s">
        <v>3171</v>
      </c>
      <c r="G101" s="571" t="s">
        <v>2931</v>
      </c>
      <c r="H101" s="571" t="s">
        <v>20</v>
      </c>
      <c r="I101" s="571" t="s">
        <v>2932</v>
      </c>
      <c r="J101" s="571">
        <v>43888</v>
      </c>
      <c r="K101" s="574" t="s">
        <v>3803</v>
      </c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</row>
    <row r="102" spans="1:31" ht="15.75" customHeight="1">
      <c r="A102" s="575">
        <v>44041</v>
      </c>
      <c r="B102" s="576" t="s">
        <v>3629</v>
      </c>
      <c r="C102" s="405" t="s">
        <v>3613</v>
      </c>
      <c r="D102" s="561" t="s">
        <v>6343</v>
      </c>
      <c r="E102" s="573">
        <v>10000</v>
      </c>
      <c r="F102" s="561" t="s">
        <v>499</v>
      </c>
      <c r="G102" s="571" t="s">
        <v>19</v>
      </c>
      <c r="H102" s="571" t="s">
        <v>20</v>
      </c>
      <c r="I102" s="571" t="s">
        <v>3080</v>
      </c>
      <c r="J102" s="571">
        <v>43934</v>
      </c>
      <c r="K102" s="574" t="s">
        <v>3797</v>
      </c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</row>
    <row r="103" spans="1:31" ht="15.75" customHeight="1">
      <c r="A103" s="571">
        <v>44042</v>
      </c>
      <c r="B103" s="580" t="s">
        <v>6386</v>
      </c>
      <c r="C103" s="561" t="s">
        <v>3793</v>
      </c>
      <c r="D103" s="561" t="s">
        <v>956</v>
      </c>
      <c r="E103" s="573">
        <v>0</v>
      </c>
      <c r="F103" s="561" t="s">
        <v>3948</v>
      </c>
      <c r="G103" s="561" t="s">
        <v>2931</v>
      </c>
      <c r="H103" s="561" t="s">
        <v>20</v>
      </c>
      <c r="I103" s="561" t="s">
        <v>2931</v>
      </c>
      <c r="J103" s="571">
        <v>43838</v>
      </c>
      <c r="K103" s="577" t="s">
        <v>3949</v>
      </c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</row>
    <row r="104" spans="1:31" ht="15.75" customHeight="1">
      <c r="A104" s="575">
        <v>44042</v>
      </c>
      <c r="B104" s="576" t="s">
        <v>3697</v>
      </c>
      <c r="C104" s="405" t="s">
        <v>3613</v>
      </c>
      <c r="D104" s="561" t="s">
        <v>6343</v>
      </c>
      <c r="E104" s="573">
        <v>10000</v>
      </c>
      <c r="F104" s="561" t="s">
        <v>3696</v>
      </c>
      <c r="G104" s="571" t="s">
        <v>19</v>
      </c>
      <c r="H104" s="571" t="s">
        <v>20</v>
      </c>
      <c r="I104" s="571" t="s">
        <v>3080</v>
      </c>
      <c r="J104" s="571">
        <v>43635</v>
      </c>
      <c r="K104" s="574" t="s">
        <v>4196</v>
      </c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</row>
    <row r="105" spans="1:31" ht="15.75" customHeight="1">
      <c r="A105" s="571">
        <v>44044</v>
      </c>
      <c r="B105" s="572" t="s">
        <v>6387</v>
      </c>
      <c r="C105" s="561" t="s">
        <v>2929</v>
      </c>
      <c r="D105" s="561" t="s">
        <v>956</v>
      </c>
      <c r="E105" s="573">
        <v>151239.98000000001</v>
      </c>
      <c r="F105" s="561" t="s">
        <v>3456</v>
      </c>
      <c r="G105" s="571" t="s">
        <v>2931</v>
      </c>
      <c r="H105" s="571" t="s">
        <v>20</v>
      </c>
      <c r="I105" s="571" t="s">
        <v>2932</v>
      </c>
      <c r="J105" s="571">
        <v>43668</v>
      </c>
      <c r="K105" s="574" t="s">
        <v>4196</v>
      </c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</row>
    <row r="106" spans="1:31" ht="15.75" customHeight="1">
      <c r="A106" s="575">
        <v>44046</v>
      </c>
      <c r="B106" s="576" t="s">
        <v>6357</v>
      </c>
      <c r="C106" s="405" t="s">
        <v>2929</v>
      </c>
      <c r="D106" s="561" t="s">
        <v>6343</v>
      </c>
      <c r="E106" s="573">
        <v>3000</v>
      </c>
      <c r="F106" s="561" t="s">
        <v>3243</v>
      </c>
      <c r="G106" s="571" t="s">
        <v>2931</v>
      </c>
      <c r="H106" s="571" t="s">
        <v>20</v>
      </c>
      <c r="I106" s="571" t="s">
        <v>2938</v>
      </c>
      <c r="J106" s="571">
        <v>43559</v>
      </c>
      <c r="K106" s="574" t="s">
        <v>4196</v>
      </c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</row>
    <row r="107" spans="1:31" ht="15.75" customHeight="1">
      <c r="A107" s="575">
        <v>44046</v>
      </c>
      <c r="B107" s="576" t="s">
        <v>6342</v>
      </c>
      <c r="C107" s="405" t="s">
        <v>2929</v>
      </c>
      <c r="D107" s="561" t="s">
        <v>6343</v>
      </c>
      <c r="E107" s="573">
        <v>6500</v>
      </c>
      <c r="F107" s="561" t="s">
        <v>3475</v>
      </c>
      <c r="G107" s="571" t="s">
        <v>2931</v>
      </c>
      <c r="H107" s="571" t="s">
        <v>20</v>
      </c>
      <c r="I107" s="571" t="s">
        <v>2932</v>
      </c>
      <c r="J107" s="571">
        <v>43675</v>
      </c>
      <c r="K107" s="574" t="s">
        <v>4196</v>
      </c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</row>
    <row r="108" spans="1:31" ht="15.75" customHeight="1">
      <c r="A108" s="575">
        <v>44048</v>
      </c>
      <c r="B108" s="578" t="s">
        <v>6354</v>
      </c>
      <c r="C108" s="405" t="s">
        <v>3793</v>
      </c>
      <c r="D108" s="561" t="s">
        <v>6343</v>
      </c>
      <c r="E108" s="573">
        <v>10000</v>
      </c>
      <c r="F108" s="561" t="s">
        <v>4673</v>
      </c>
      <c r="G108" s="561" t="s">
        <v>2931</v>
      </c>
      <c r="H108" s="561" t="s">
        <v>20</v>
      </c>
      <c r="I108" s="561" t="s">
        <v>2931</v>
      </c>
      <c r="J108" s="571">
        <v>44252</v>
      </c>
      <c r="K108" s="577" t="s">
        <v>3813</v>
      </c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</row>
    <row r="109" spans="1:31" ht="15.75" customHeight="1">
      <c r="A109" s="575">
        <v>44048</v>
      </c>
      <c r="B109" s="576" t="s">
        <v>6363</v>
      </c>
      <c r="C109" s="405" t="s">
        <v>2929</v>
      </c>
      <c r="D109" s="561" t="s">
        <v>6343</v>
      </c>
      <c r="E109" s="573">
        <v>33000</v>
      </c>
      <c r="F109" s="561" t="s">
        <v>3407</v>
      </c>
      <c r="G109" s="571" t="s">
        <v>2931</v>
      </c>
      <c r="H109" s="571" t="s">
        <v>20</v>
      </c>
      <c r="I109" s="571" t="s">
        <v>2932</v>
      </c>
      <c r="J109" s="571">
        <v>43699</v>
      </c>
      <c r="K109" s="574" t="s">
        <v>4196</v>
      </c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</row>
    <row r="110" spans="1:31" ht="15.75" customHeight="1">
      <c r="A110" s="575">
        <v>44049</v>
      </c>
      <c r="B110" s="576" t="s">
        <v>6387</v>
      </c>
      <c r="C110" s="405" t="s">
        <v>2929</v>
      </c>
      <c r="D110" s="561" t="s">
        <v>921</v>
      </c>
      <c r="E110" s="573">
        <v>5000</v>
      </c>
      <c r="F110" s="561" t="s">
        <v>3456</v>
      </c>
      <c r="G110" s="571" t="s">
        <v>2931</v>
      </c>
      <c r="H110" s="571" t="s">
        <v>20</v>
      </c>
      <c r="I110" s="571" t="s">
        <v>2932</v>
      </c>
      <c r="J110" s="571">
        <v>43668</v>
      </c>
      <c r="K110" s="574" t="s">
        <v>4196</v>
      </c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</row>
    <row r="111" spans="1:31" ht="15.75" customHeight="1">
      <c r="A111" s="575">
        <v>44049</v>
      </c>
      <c r="B111" s="576" t="s">
        <v>6375</v>
      </c>
      <c r="C111" s="405" t="s">
        <v>2929</v>
      </c>
      <c r="D111" s="561" t="s">
        <v>6343</v>
      </c>
      <c r="E111" s="573">
        <v>99216.1</v>
      </c>
      <c r="F111" s="561" t="s">
        <v>3171</v>
      </c>
      <c r="G111" s="571" t="s">
        <v>2931</v>
      </c>
      <c r="H111" s="571" t="s">
        <v>20</v>
      </c>
      <c r="I111" s="571" t="s">
        <v>2932</v>
      </c>
      <c r="J111" s="571">
        <v>43888</v>
      </c>
      <c r="K111" s="574" t="s">
        <v>3803</v>
      </c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</row>
    <row r="112" spans="1:31" ht="15.75" customHeight="1">
      <c r="A112" s="575">
        <v>44050</v>
      </c>
      <c r="B112" s="576" t="s">
        <v>6349</v>
      </c>
      <c r="C112" s="405" t="s">
        <v>2929</v>
      </c>
      <c r="D112" s="561" t="s">
        <v>6343</v>
      </c>
      <c r="E112" s="573">
        <v>14000</v>
      </c>
      <c r="F112" s="561" t="s">
        <v>3198</v>
      </c>
      <c r="G112" s="571" t="s">
        <v>2931</v>
      </c>
      <c r="H112" s="571" t="s">
        <v>20</v>
      </c>
      <c r="I112" s="571" t="s">
        <v>2932</v>
      </c>
      <c r="J112" s="571">
        <v>43703</v>
      </c>
      <c r="K112" s="574" t="s">
        <v>4196</v>
      </c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</row>
    <row r="113" spans="1:31" ht="15.75" customHeight="1">
      <c r="A113" s="575">
        <v>44050</v>
      </c>
      <c r="B113" s="576" t="s">
        <v>6365</v>
      </c>
      <c r="C113" s="405" t="s">
        <v>2929</v>
      </c>
      <c r="D113" s="561" t="s">
        <v>6343</v>
      </c>
      <c r="E113" s="573">
        <v>9000</v>
      </c>
      <c r="F113" s="561" t="s">
        <v>3452</v>
      </c>
      <c r="G113" s="571" t="s">
        <v>2931</v>
      </c>
      <c r="H113" s="571" t="s">
        <v>20</v>
      </c>
      <c r="I113" s="571" t="s">
        <v>2932</v>
      </c>
      <c r="J113" s="571">
        <v>43894</v>
      </c>
      <c r="K113" s="574" t="s">
        <v>3813</v>
      </c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</row>
    <row r="114" spans="1:31" ht="15.75" customHeight="1">
      <c r="A114" s="575">
        <v>44050</v>
      </c>
      <c r="B114" s="578" t="s">
        <v>6356</v>
      </c>
      <c r="C114" s="405" t="s">
        <v>2929</v>
      </c>
      <c r="D114" s="561" t="s">
        <v>6343</v>
      </c>
      <c r="E114" s="573">
        <v>20000</v>
      </c>
      <c r="F114" s="561" t="s">
        <v>3261</v>
      </c>
      <c r="G114" s="571" t="s">
        <v>2931</v>
      </c>
      <c r="H114" s="571" t="s">
        <v>20</v>
      </c>
      <c r="I114" s="571" t="s">
        <v>2938</v>
      </c>
      <c r="J114" s="571">
        <v>43664</v>
      </c>
      <c r="K114" s="574" t="s">
        <v>4196</v>
      </c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</row>
    <row r="115" spans="1:31" ht="15.75" customHeight="1">
      <c r="A115" s="571">
        <v>44053</v>
      </c>
      <c r="B115" s="572" t="s">
        <v>6361</v>
      </c>
      <c r="C115" s="561" t="s">
        <v>2929</v>
      </c>
      <c r="D115" s="561" t="s">
        <v>956</v>
      </c>
      <c r="E115" s="573">
        <v>0</v>
      </c>
      <c r="F115" s="561" t="s">
        <v>3553</v>
      </c>
      <c r="G115" s="571" t="s">
        <v>2931</v>
      </c>
      <c r="H115" s="571" t="s">
        <v>20</v>
      </c>
      <c r="I115" s="571" t="s">
        <v>2932</v>
      </c>
      <c r="J115" s="571">
        <v>43738</v>
      </c>
      <c r="K115" s="574" t="s">
        <v>3817</v>
      </c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</row>
    <row r="116" spans="1:31" ht="15.75" customHeight="1">
      <c r="A116" s="575">
        <v>44057</v>
      </c>
      <c r="B116" s="578" t="s">
        <v>6364</v>
      </c>
      <c r="C116" s="405" t="s">
        <v>2929</v>
      </c>
      <c r="D116" s="561" t="s">
        <v>6343</v>
      </c>
      <c r="E116" s="573">
        <v>200000</v>
      </c>
      <c r="F116" s="561" t="s">
        <v>3516</v>
      </c>
      <c r="G116" s="571" t="s">
        <v>2931</v>
      </c>
      <c r="H116" s="571" t="s">
        <v>20</v>
      </c>
      <c r="I116" s="571" t="s">
        <v>2932</v>
      </c>
      <c r="J116" s="571">
        <v>43717</v>
      </c>
      <c r="K116" s="574" t="s">
        <v>4196</v>
      </c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</row>
    <row r="117" spans="1:31" ht="15.75" customHeight="1">
      <c r="A117" s="575">
        <v>44060</v>
      </c>
      <c r="B117" s="576" t="s">
        <v>6370</v>
      </c>
      <c r="C117" s="405" t="s">
        <v>2929</v>
      </c>
      <c r="D117" s="561" t="s">
        <v>6343</v>
      </c>
      <c r="E117" s="573">
        <v>6300</v>
      </c>
      <c r="F117" s="561" t="s">
        <v>3356</v>
      </c>
      <c r="G117" s="571" t="s">
        <v>2931</v>
      </c>
      <c r="H117" s="571" t="s">
        <v>20</v>
      </c>
      <c r="I117" s="571" t="s">
        <v>2932</v>
      </c>
      <c r="J117" s="571">
        <v>43564</v>
      </c>
      <c r="K117" s="574" t="s">
        <v>3817</v>
      </c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</row>
    <row r="118" spans="1:31" ht="15.75" customHeight="1">
      <c r="A118" s="571">
        <v>44061</v>
      </c>
      <c r="B118" s="572" t="s">
        <v>6346</v>
      </c>
      <c r="C118" s="561" t="s">
        <v>2929</v>
      </c>
      <c r="D118" s="561" t="s">
        <v>956</v>
      </c>
      <c r="E118" s="573">
        <v>394570.05</v>
      </c>
      <c r="F118" s="561" t="s">
        <v>3431</v>
      </c>
      <c r="G118" s="571" t="s">
        <v>2931</v>
      </c>
      <c r="H118" s="571" t="s">
        <v>20</v>
      </c>
      <c r="I118" s="571" t="s">
        <v>2932</v>
      </c>
      <c r="J118" s="571">
        <v>43700</v>
      </c>
      <c r="K118" s="574" t="s">
        <v>4196</v>
      </c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</row>
    <row r="119" spans="1:31" ht="15.75" customHeight="1">
      <c r="A119" s="575">
        <v>44061</v>
      </c>
      <c r="B119" s="576" t="s">
        <v>6376</v>
      </c>
      <c r="C119" s="405" t="s">
        <v>2929</v>
      </c>
      <c r="D119" s="561" t="s">
        <v>6343</v>
      </c>
      <c r="E119" s="573">
        <v>7000</v>
      </c>
      <c r="F119" s="561" t="s">
        <v>3462</v>
      </c>
      <c r="G119" s="571" t="s">
        <v>2931</v>
      </c>
      <c r="H119" s="571" t="s">
        <v>20</v>
      </c>
      <c r="I119" s="571" t="s">
        <v>2932</v>
      </c>
      <c r="J119" s="571">
        <v>43840</v>
      </c>
      <c r="K119" s="574" t="s">
        <v>3813</v>
      </c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</row>
    <row r="120" spans="1:31" ht="15.75" customHeight="1">
      <c r="A120" s="571">
        <v>44063</v>
      </c>
      <c r="B120" s="572" t="s">
        <v>6388</v>
      </c>
      <c r="C120" s="561" t="s">
        <v>2929</v>
      </c>
      <c r="D120" s="561" t="s">
        <v>956</v>
      </c>
      <c r="E120" s="573">
        <v>99216.1</v>
      </c>
      <c r="F120" s="561" t="s">
        <v>3130</v>
      </c>
      <c r="G120" s="571" t="s">
        <v>2931</v>
      </c>
      <c r="H120" s="571" t="s">
        <v>20</v>
      </c>
      <c r="I120" s="571" t="s">
        <v>2932</v>
      </c>
      <c r="J120" s="571">
        <v>43675</v>
      </c>
      <c r="K120" s="574" t="s">
        <v>4196</v>
      </c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</row>
    <row r="121" spans="1:31" ht="15.75" customHeight="1">
      <c r="A121" s="575">
        <v>44068</v>
      </c>
      <c r="B121" s="576" t="s">
        <v>6351</v>
      </c>
      <c r="C121" s="405" t="s">
        <v>2929</v>
      </c>
      <c r="D121" s="561" t="s">
        <v>6343</v>
      </c>
      <c r="E121" s="573">
        <v>130000</v>
      </c>
      <c r="F121" s="561" t="s">
        <v>3235</v>
      </c>
      <c r="G121" s="571" t="s">
        <v>2931</v>
      </c>
      <c r="H121" s="571" t="s">
        <v>20</v>
      </c>
      <c r="I121" s="571" t="s">
        <v>2932</v>
      </c>
      <c r="J121" s="571">
        <v>43605</v>
      </c>
      <c r="K121" s="574" t="s">
        <v>3813</v>
      </c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</row>
    <row r="122" spans="1:31" ht="15.75" customHeight="1">
      <c r="A122" s="575">
        <v>44068</v>
      </c>
      <c r="B122" s="578" t="s">
        <v>6357</v>
      </c>
      <c r="C122" s="405" t="s">
        <v>2929</v>
      </c>
      <c r="D122" s="561" t="s">
        <v>6343</v>
      </c>
      <c r="E122" s="573">
        <v>5000</v>
      </c>
      <c r="F122" s="561" t="s">
        <v>3243</v>
      </c>
      <c r="G122" s="571" t="s">
        <v>2931</v>
      </c>
      <c r="H122" s="571" t="s">
        <v>20</v>
      </c>
      <c r="I122" s="571" t="s">
        <v>2938</v>
      </c>
      <c r="J122" s="571">
        <v>43559</v>
      </c>
      <c r="K122" s="574" t="s">
        <v>4196</v>
      </c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</row>
    <row r="123" spans="1:31" ht="15.75" customHeight="1">
      <c r="A123" s="575">
        <v>44069</v>
      </c>
      <c r="B123" s="576" t="s">
        <v>6345</v>
      </c>
      <c r="C123" s="405" t="s">
        <v>3793</v>
      </c>
      <c r="D123" s="561" t="s">
        <v>6343</v>
      </c>
      <c r="E123" s="573">
        <v>1800</v>
      </c>
      <c r="F123" s="561" t="s">
        <v>5056</v>
      </c>
      <c r="G123" s="561" t="s">
        <v>2931</v>
      </c>
      <c r="H123" s="561" t="s">
        <v>20</v>
      </c>
      <c r="I123" s="561" t="s">
        <v>2931</v>
      </c>
      <c r="J123" s="571">
        <v>43749</v>
      </c>
      <c r="K123" s="577" t="s">
        <v>4196</v>
      </c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</row>
    <row r="124" spans="1:31" ht="15.75" customHeight="1">
      <c r="A124" s="575">
        <v>44069</v>
      </c>
      <c r="B124" s="576" t="s">
        <v>6349</v>
      </c>
      <c r="C124" s="405" t="s">
        <v>2929</v>
      </c>
      <c r="D124" s="561" t="s">
        <v>6343</v>
      </c>
      <c r="E124" s="573">
        <v>20000</v>
      </c>
      <c r="F124" s="561" t="s">
        <v>3198</v>
      </c>
      <c r="G124" s="571" t="s">
        <v>2931</v>
      </c>
      <c r="H124" s="571" t="s">
        <v>20</v>
      </c>
      <c r="I124" s="571" t="s">
        <v>2932</v>
      </c>
      <c r="J124" s="571">
        <v>43703</v>
      </c>
      <c r="K124" s="574" t="s">
        <v>4196</v>
      </c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</row>
    <row r="125" spans="1:31" ht="15.75" customHeight="1">
      <c r="A125" s="575">
        <v>44074</v>
      </c>
      <c r="B125" s="576" t="s">
        <v>6356</v>
      </c>
      <c r="C125" s="405" t="s">
        <v>2929</v>
      </c>
      <c r="D125" s="561" t="s">
        <v>6343</v>
      </c>
      <c r="E125" s="579">
        <v>150000</v>
      </c>
      <c r="F125" s="561" t="s">
        <v>3261</v>
      </c>
      <c r="G125" s="571" t="s">
        <v>2931</v>
      </c>
      <c r="H125" s="571" t="s">
        <v>20</v>
      </c>
      <c r="I125" s="571" t="s">
        <v>2938</v>
      </c>
      <c r="J125" s="571">
        <v>43664</v>
      </c>
      <c r="K125" s="574" t="s">
        <v>4196</v>
      </c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</row>
    <row r="126" spans="1:31" ht="15.75" customHeight="1">
      <c r="A126" s="575">
        <v>44074</v>
      </c>
      <c r="B126" s="576" t="s">
        <v>6351</v>
      </c>
      <c r="C126" s="405" t="s">
        <v>2929</v>
      </c>
      <c r="D126" s="561" t="s">
        <v>6343</v>
      </c>
      <c r="E126" s="573">
        <v>20000</v>
      </c>
      <c r="F126" s="561" t="s">
        <v>3235</v>
      </c>
      <c r="G126" s="571" t="s">
        <v>2931</v>
      </c>
      <c r="H126" s="571" t="s">
        <v>20</v>
      </c>
      <c r="I126" s="571" t="s">
        <v>2932</v>
      </c>
      <c r="J126" s="571">
        <v>43605</v>
      </c>
      <c r="K126" s="574" t="s">
        <v>3813</v>
      </c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</row>
    <row r="127" spans="1:31" ht="15.75" customHeight="1">
      <c r="A127" s="575">
        <v>44075</v>
      </c>
      <c r="B127" s="576" t="s">
        <v>6376</v>
      </c>
      <c r="C127" s="405" t="s">
        <v>2929</v>
      </c>
      <c r="D127" s="561" t="s">
        <v>6343</v>
      </c>
      <c r="E127" s="573">
        <v>194670.06</v>
      </c>
      <c r="F127" s="561" t="s">
        <v>3462</v>
      </c>
      <c r="G127" s="571" t="s">
        <v>2931</v>
      </c>
      <c r="H127" s="571" t="s">
        <v>20</v>
      </c>
      <c r="I127" s="571" t="s">
        <v>2932</v>
      </c>
      <c r="J127" s="571">
        <v>43840</v>
      </c>
      <c r="K127" s="574" t="s">
        <v>3813</v>
      </c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</row>
    <row r="128" spans="1:31" ht="15.75" customHeight="1">
      <c r="A128" s="575">
        <v>44078</v>
      </c>
      <c r="B128" s="578" t="s">
        <v>6389</v>
      </c>
      <c r="C128" s="405" t="s">
        <v>2929</v>
      </c>
      <c r="D128" s="561" t="s">
        <v>6343</v>
      </c>
      <c r="E128" s="579">
        <v>5000</v>
      </c>
      <c r="F128" s="561" t="s">
        <v>3449</v>
      </c>
      <c r="G128" s="571" t="s">
        <v>2931</v>
      </c>
      <c r="H128" s="571" t="s">
        <v>20</v>
      </c>
      <c r="I128" s="571" t="s">
        <v>2938</v>
      </c>
      <c r="J128" s="571">
        <v>43564</v>
      </c>
      <c r="K128" s="574" t="s">
        <v>3797</v>
      </c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</row>
    <row r="129" spans="1:31" ht="15.75" customHeight="1">
      <c r="A129" s="575">
        <v>44082</v>
      </c>
      <c r="B129" s="576" t="s">
        <v>6357</v>
      </c>
      <c r="C129" s="405" t="s">
        <v>2929</v>
      </c>
      <c r="D129" s="561" t="s">
        <v>6343</v>
      </c>
      <c r="E129" s="573">
        <v>14000</v>
      </c>
      <c r="F129" s="561" t="s">
        <v>3243</v>
      </c>
      <c r="G129" s="571" t="s">
        <v>2931</v>
      </c>
      <c r="H129" s="571" t="s">
        <v>20</v>
      </c>
      <c r="I129" s="571" t="s">
        <v>2938</v>
      </c>
      <c r="J129" s="571">
        <v>43559</v>
      </c>
      <c r="K129" s="574" t="s">
        <v>4196</v>
      </c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</row>
    <row r="130" spans="1:31" ht="15.75" customHeight="1">
      <c r="A130" s="575">
        <v>44082</v>
      </c>
      <c r="B130" s="576" t="s">
        <v>6354</v>
      </c>
      <c r="C130" s="405" t="s">
        <v>3793</v>
      </c>
      <c r="D130" s="561" t="s">
        <v>6343</v>
      </c>
      <c r="E130" s="573">
        <v>20000</v>
      </c>
      <c r="F130" s="561" t="s">
        <v>4673</v>
      </c>
      <c r="G130" s="561" t="s">
        <v>2931</v>
      </c>
      <c r="H130" s="561" t="s">
        <v>20</v>
      </c>
      <c r="I130" s="561" t="s">
        <v>2931</v>
      </c>
      <c r="J130" s="571">
        <v>44252</v>
      </c>
      <c r="K130" s="577" t="s">
        <v>3813</v>
      </c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</row>
    <row r="131" spans="1:31" ht="15.75" customHeight="1">
      <c r="A131" s="575">
        <v>44083</v>
      </c>
      <c r="B131" s="578" t="s">
        <v>6375</v>
      </c>
      <c r="C131" s="405" t="s">
        <v>2929</v>
      </c>
      <c r="D131" s="561" t="s">
        <v>6343</v>
      </c>
      <c r="E131" s="573">
        <v>85486</v>
      </c>
      <c r="F131" s="561" t="s">
        <v>3171</v>
      </c>
      <c r="G131" s="571" t="s">
        <v>2931</v>
      </c>
      <c r="H131" s="571" t="s">
        <v>20</v>
      </c>
      <c r="I131" s="571" t="s">
        <v>2932</v>
      </c>
      <c r="J131" s="571">
        <v>43888</v>
      </c>
      <c r="K131" s="574" t="s">
        <v>3803</v>
      </c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</row>
    <row r="132" spans="1:31" ht="15.75" customHeight="1">
      <c r="A132" s="575">
        <v>44084</v>
      </c>
      <c r="B132" s="576" t="s">
        <v>6390</v>
      </c>
      <c r="C132" s="405" t="s">
        <v>2929</v>
      </c>
      <c r="D132" s="561" t="s">
        <v>6343</v>
      </c>
      <c r="E132" s="579">
        <v>3350000</v>
      </c>
      <c r="F132" s="561" t="s">
        <v>3022</v>
      </c>
      <c r="G132" s="571" t="s">
        <v>2931</v>
      </c>
      <c r="H132" s="571" t="s">
        <v>20</v>
      </c>
      <c r="I132" s="571" t="s">
        <v>2938</v>
      </c>
      <c r="J132" s="571">
        <v>43903</v>
      </c>
      <c r="K132" s="574" t="s">
        <v>3803</v>
      </c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</row>
    <row r="133" spans="1:31" ht="15.75" customHeight="1">
      <c r="A133" s="571">
        <v>44085</v>
      </c>
      <c r="B133" s="580" t="s">
        <v>6391</v>
      </c>
      <c r="C133" s="561" t="s">
        <v>3793</v>
      </c>
      <c r="D133" s="561" t="s">
        <v>956</v>
      </c>
      <c r="E133" s="573">
        <v>0</v>
      </c>
      <c r="F133" s="561" t="s">
        <v>3106</v>
      </c>
      <c r="G133" s="561" t="s">
        <v>2931</v>
      </c>
      <c r="H133" s="561" t="s">
        <v>20</v>
      </c>
      <c r="I133" s="561" t="s">
        <v>2931</v>
      </c>
      <c r="J133" s="571">
        <v>44043</v>
      </c>
      <c r="K133" s="577" t="s">
        <v>3803</v>
      </c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</row>
    <row r="134" spans="1:31" ht="15.75" customHeight="1">
      <c r="A134" s="575">
        <v>44085</v>
      </c>
      <c r="B134" s="576" t="s">
        <v>6392</v>
      </c>
      <c r="C134" s="405" t="s">
        <v>3793</v>
      </c>
      <c r="D134" s="561" t="s">
        <v>6343</v>
      </c>
      <c r="E134" s="573">
        <v>277581.55</v>
      </c>
      <c r="F134" s="561" t="s">
        <v>4867</v>
      </c>
      <c r="G134" s="561" t="s">
        <v>2931</v>
      </c>
      <c r="H134" s="561" t="s">
        <v>20</v>
      </c>
      <c r="I134" s="561" t="s">
        <v>2931</v>
      </c>
      <c r="J134" s="571">
        <v>44068</v>
      </c>
      <c r="K134" s="577" t="s">
        <v>3803</v>
      </c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</row>
    <row r="135" spans="1:31" ht="15.75" customHeight="1">
      <c r="A135" s="575">
        <v>44085</v>
      </c>
      <c r="B135" s="576" t="s">
        <v>6391</v>
      </c>
      <c r="C135" s="405" t="s">
        <v>3793</v>
      </c>
      <c r="D135" s="561" t="s">
        <v>921</v>
      </c>
      <c r="E135" s="573">
        <v>110000</v>
      </c>
      <c r="F135" s="561" t="s">
        <v>3106</v>
      </c>
      <c r="G135" s="561" t="s">
        <v>2931</v>
      </c>
      <c r="H135" s="561" t="s">
        <v>20</v>
      </c>
      <c r="I135" s="561" t="s">
        <v>2931</v>
      </c>
      <c r="J135" s="571">
        <v>44043</v>
      </c>
      <c r="K135" s="577" t="s">
        <v>3803</v>
      </c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</row>
    <row r="136" spans="1:31" ht="15.75" customHeight="1">
      <c r="A136" s="571">
        <v>44086</v>
      </c>
      <c r="B136" s="572" t="s">
        <v>6366</v>
      </c>
      <c r="C136" s="561" t="s">
        <v>2929</v>
      </c>
      <c r="D136" s="561" t="s">
        <v>956</v>
      </c>
      <c r="E136" s="573">
        <v>0</v>
      </c>
      <c r="F136" s="561" t="s">
        <v>3106</v>
      </c>
      <c r="G136" s="571" t="s">
        <v>2931</v>
      </c>
      <c r="H136" s="571" t="s">
        <v>20</v>
      </c>
      <c r="I136" s="571" t="s">
        <v>2938</v>
      </c>
      <c r="J136" s="571">
        <v>43913</v>
      </c>
      <c r="K136" s="574" t="s">
        <v>3803</v>
      </c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</row>
    <row r="137" spans="1:31" ht="15.75" customHeight="1">
      <c r="A137" s="575">
        <v>44088</v>
      </c>
      <c r="B137" s="578" t="s">
        <v>6354</v>
      </c>
      <c r="C137" s="405" t="s">
        <v>3793</v>
      </c>
      <c r="D137" s="561" t="s">
        <v>6343</v>
      </c>
      <c r="E137" s="573">
        <v>27000</v>
      </c>
      <c r="F137" s="561" t="s">
        <v>4673</v>
      </c>
      <c r="G137" s="561" t="s">
        <v>2931</v>
      </c>
      <c r="H137" s="561" t="s">
        <v>20</v>
      </c>
      <c r="I137" s="561" t="s">
        <v>2931</v>
      </c>
      <c r="J137" s="571">
        <v>44252</v>
      </c>
      <c r="K137" s="577" t="s">
        <v>3813</v>
      </c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</row>
    <row r="138" spans="1:31" ht="15.75" customHeight="1">
      <c r="A138" s="575">
        <v>44088</v>
      </c>
      <c r="B138" s="576" t="s">
        <v>6350</v>
      </c>
      <c r="C138" s="405" t="s">
        <v>2929</v>
      </c>
      <c r="D138" s="561" t="s">
        <v>6343</v>
      </c>
      <c r="E138" s="573">
        <v>50000</v>
      </c>
      <c r="F138" s="561" t="s">
        <v>3564</v>
      </c>
      <c r="G138" s="571" t="s">
        <v>2931</v>
      </c>
      <c r="H138" s="571" t="s">
        <v>20</v>
      </c>
      <c r="I138" s="571" t="s">
        <v>2932</v>
      </c>
      <c r="J138" s="571">
        <v>43567</v>
      </c>
      <c r="K138" s="574" t="s">
        <v>3803</v>
      </c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</row>
    <row r="139" spans="1:31" ht="15.75" customHeight="1">
      <c r="A139" s="575">
        <v>44089</v>
      </c>
      <c r="B139" s="576" t="s">
        <v>6363</v>
      </c>
      <c r="C139" s="405" t="s">
        <v>2929</v>
      </c>
      <c r="D139" s="561" t="s">
        <v>6343</v>
      </c>
      <c r="E139" s="573">
        <v>7000</v>
      </c>
      <c r="F139" s="561" t="s">
        <v>3407</v>
      </c>
      <c r="G139" s="571" t="s">
        <v>2931</v>
      </c>
      <c r="H139" s="571" t="s">
        <v>20</v>
      </c>
      <c r="I139" s="571" t="s">
        <v>2932</v>
      </c>
      <c r="J139" s="571">
        <v>43699</v>
      </c>
      <c r="K139" s="574" t="s">
        <v>4196</v>
      </c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</row>
    <row r="140" spans="1:31" ht="15.75" customHeight="1">
      <c r="A140" s="575">
        <v>44089</v>
      </c>
      <c r="B140" s="576" t="s">
        <v>6370</v>
      </c>
      <c r="C140" s="405" t="s">
        <v>2929</v>
      </c>
      <c r="D140" s="561" t="s">
        <v>6343</v>
      </c>
      <c r="E140" s="573">
        <v>14000</v>
      </c>
      <c r="F140" s="561" t="s">
        <v>3356</v>
      </c>
      <c r="G140" s="571" t="s">
        <v>2931</v>
      </c>
      <c r="H140" s="571" t="s">
        <v>20</v>
      </c>
      <c r="I140" s="571" t="s">
        <v>2932</v>
      </c>
      <c r="J140" s="571">
        <v>43564</v>
      </c>
      <c r="K140" s="574" t="s">
        <v>3817</v>
      </c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</row>
    <row r="141" spans="1:31" ht="15.75" customHeight="1">
      <c r="A141" s="575">
        <v>44089</v>
      </c>
      <c r="B141" s="578" t="s">
        <v>6393</v>
      </c>
      <c r="C141" s="405" t="s">
        <v>2929</v>
      </c>
      <c r="D141" s="561" t="s">
        <v>6343</v>
      </c>
      <c r="E141" s="573">
        <v>50000</v>
      </c>
      <c r="F141" s="561" t="s">
        <v>3503</v>
      </c>
      <c r="G141" s="571" t="s">
        <v>2931</v>
      </c>
      <c r="H141" s="571" t="s">
        <v>20</v>
      </c>
      <c r="I141" s="571" t="s">
        <v>2932</v>
      </c>
      <c r="J141" s="571">
        <v>44041</v>
      </c>
      <c r="K141" s="574" t="s">
        <v>3803</v>
      </c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</row>
    <row r="142" spans="1:31" ht="15.75" customHeight="1">
      <c r="A142" s="571">
        <v>44091</v>
      </c>
      <c r="B142" s="572" t="s">
        <v>6394</v>
      </c>
      <c r="C142" s="561" t="s">
        <v>3793</v>
      </c>
      <c r="D142" s="561" t="s">
        <v>956</v>
      </c>
      <c r="E142" s="573">
        <v>0</v>
      </c>
      <c r="F142" s="561" t="s">
        <v>4426</v>
      </c>
      <c r="G142" s="561" t="s">
        <v>2931</v>
      </c>
      <c r="H142" s="561" t="s">
        <v>20</v>
      </c>
      <c r="I142" s="561" t="s">
        <v>2931</v>
      </c>
      <c r="J142" s="571">
        <v>43696</v>
      </c>
      <c r="K142" s="577" t="s">
        <v>3803</v>
      </c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</row>
    <row r="143" spans="1:31" ht="15.75" customHeight="1">
      <c r="A143" s="575">
        <v>44091</v>
      </c>
      <c r="B143" s="576" t="s">
        <v>6394</v>
      </c>
      <c r="C143" s="405" t="s">
        <v>3793</v>
      </c>
      <c r="D143" s="561" t="s">
        <v>921</v>
      </c>
      <c r="E143" s="573">
        <v>6400</v>
      </c>
      <c r="F143" s="561" t="s">
        <v>4426</v>
      </c>
      <c r="G143" s="561" t="s">
        <v>2931</v>
      </c>
      <c r="H143" s="561" t="s">
        <v>20</v>
      </c>
      <c r="I143" s="561" t="s">
        <v>2931</v>
      </c>
      <c r="J143" s="571">
        <v>43696</v>
      </c>
      <c r="K143" s="577" t="s">
        <v>3803</v>
      </c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</row>
    <row r="144" spans="1:31" ht="15.75" customHeight="1">
      <c r="A144" s="575">
        <v>44096</v>
      </c>
      <c r="B144" s="578" t="s">
        <v>6392</v>
      </c>
      <c r="C144" s="405" t="s">
        <v>3793</v>
      </c>
      <c r="D144" s="561" t="s">
        <v>6343</v>
      </c>
      <c r="E144" s="573">
        <v>0</v>
      </c>
      <c r="F144" s="561" t="s">
        <v>4867</v>
      </c>
      <c r="G144" s="561" t="s">
        <v>2931</v>
      </c>
      <c r="H144" s="561" t="s">
        <v>20</v>
      </c>
      <c r="I144" s="561" t="s">
        <v>2931</v>
      </c>
      <c r="J144" s="571">
        <v>44068</v>
      </c>
      <c r="K144" s="577" t="s">
        <v>3803</v>
      </c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</row>
    <row r="145" spans="1:31" ht="15.75" customHeight="1">
      <c r="A145" s="575">
        <v>44096</v>
      </c>
      <c r="B145" s="576" t="s">
        <v>6395</v>
      </c>
      <c r="C145" s="405" t="s">
        <v>2929</v>
      </c>
      <c r="D145" s="561" t="s">
        <v>6343</v>
      </c>
      <c r="E145" s="573">
        <v>27000</v>
      </c>
      <c r="F145" s="561" t="s">
        <v>3273</v>
      </c>
      <c r="G145" s="571" t="s">
        <v>2931</v>
      </c>
      <c r="H145" s="571" t="s">
        <v>20</v>
      </c>
      <c r="I145" s="571" t="s">
        <v>2932</v>
      </c>
      <c r="J145" s="571">
        <v>43711</v>
      </c>
      <c r="K145" s="574" t="s">
        <v>4196</v>
      </c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</row>
    <row r="146" spans="1:31" ht="15.75" customHeight="1">
      <c r="A146" s="575">
        <v>44097</v>
      </c>
      <c r="B146" s="576" t="s">
        <v>6396</v>
      </c>
      <c r="C146" s="405" t="s">
        <v>3793</v>
      </c>
      <c r="D146" s="561" t="s">
        <v>6343</v>
      </c>
      <c r="E146" s="573">
        <v>9000</v>
      </c>
      <c r="F146" s="561" t="s">
        <v>5018</v>
      </c>
      <c r="G146" s="561" t="s">
        <v>2931</v>
      </c>
      <c r="H146" s="561" t="s">
        <v>20</v>
      </c>
      <c r="I146" s="561" t="s">
        <v>2931</v>
      </c>
      <c r="J146" s="571">
        <v>44043</v>
      </c>
      <c r="K146" s="577" t="s">
        <v>3803</v>
      </c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</row>
    <row r="147" spans="1:31" ht="15.75" customHeight="1">
      <c r="A147" s="575">
        <v>44099</v>
      </c>
      <c r="B147" s="578" t="s">
        <v>6357</v>
      </c>
      <c r="C147" s="405" t="s">
        <v>2929</v>
      </c>
      <c r="D147" s="561" t="s">
        <v>6343</v>
      </c>
      <c r="E147" s="573">
        <v>20000</v>
      </c>
      <c r="F147" s="561" t="s">
        <v>3243</v>
      </c>
      <c r="G147" s="571" t="s">
        <v>2931</v>
      </c>
      <c r="H147" s="571" t="s">
        <v>20</v>
      </c>
      <c r="I147" s="571" t="s">
        <v>2938</v>
      </c>
      <c r="J147" s="571">
        <v>43559</v>
      </c>
      <c r="K147" s="574" t="s">
        <v>4196</v>
      </c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</row>
    <row r="148" spans="1:31" ht="15.75" customHeight="1">
      <c r="A148" s="575">
        <v>44099</v>
      </c>
      <c r="B148" s="576" t="s">
        <v>6351</v>
      </c>
      <c r="C148" s="405" t="s">
        <v>2929</v>
      </c>
      <c r="D148" s="561" t="s">
        <v>6343</v>
      </c>
      <c r="E148" s="573">
        <v>25000</v>
      </c>
      <c r="F148" s="561" t="s">
        <v>3235</v>
      </c>
      <c r="G148" s="571" t="s">
        <v>2931</v>
      </c>
      <c r="H148" s="571" t="s">
        <v>20</v>
      </c>
      <c r="I148" s="571" t="s">
        <v>2932</v>
      </c>
      <c r="J148" s="571">
        <v>43605</v>
      </c>
      <c r="K148" s="574" t="s">
        <v>3813</v>
      </c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</row>
    <row r="149" spans="1:31" ht="15.75" customHeight="1">
      <c r="A149" s="575">
        <v>44102</v>
      </c>
      <c r="B149" s="578" t="s">
        <v>6345</v>
      </c>
      <c r="C149" s="405" t="s">
        <v>3793</v>
      </c>
      <c r="D149" s="561" t="s">
        <v>6343</v>
      </c>
      <c r="E149" s="573">
        <v>10000</v>
      </c>
      <c r="F149" s="561" t="s">
        <v>5056</v>
      </c>
      <c r="G149" s="561" t="s">
        <v>2931</v>
      </c>
      <c r="H149" s="561" t="s">
        <v>20</v>
      </c>
      <c r="I149" s="561" t="s">
        <v>2931</v>
      </c>
      <c r="J149" s="571">
        <v>43749</v>
      </c>
      <c r="K149" s="577" t="s">
        <v>4196</v>
      </c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</row>
    <row r="150" spans="1:31" ht="15.75" customHeight="1">
      <c r="A150" s="575">
        <v>44103</v>
      </c>
      <c r="B150" s="576" t="s">
        <v>6356</v>
      </c>
      <c r="C150" s="405" t="s">
        <v>2929</v>
      </c>
      <c r="D150" s="561" t="s">
        <v>6343</v>
      </c>
      <c r="E150" s="573">
        <v>10000</v>
      </c>
      <c r="F150" s="561" t="s">
        <v>3261</v>
      </c>
      <c r="G150" s="571" t="s">
        <v>2931</v>
      </c>
      <c r="H150" s="571" t="s">
        <v>20</v>
      </c>
      <c r="I150" s="571" t="s">
        <v>2938</v>
      </c>
      <c r="J150" s="571">
        <v>43664</v>
      </c>
      <c r="K150" s="574" t="s">
        <v>4196</v>
      </c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</row>
    <row r="151" spans="1:31" ht="15.75" customHeight="1">
      <c r="A151" s="575">
        <v>44103</v>
      </c>
      <c r="B151" s="578" t="s">
        <v>3683</v>
      </c>
      <c r="C151" s="405" t="s">
        <v>3613</v>
      </c>
      <c r="D151" s="561" t="s">
        <v>921</v>
      </c>
      <c r="E151" s="573">
        <v>7000</v>
      </c>
      <c r="F151" s="561" t="s">
        <v>6397</v>
      </c>
      <c r="G151" s="571" t="s">
        <v>19</v>
      </c>
      <c r="H151" s="571" t="s">
        <v>20</v>
      </c>
      <c r="I151" s="571" t="s">
        <v>3684</v>
      </c>
      <c r="J151" s="571">
        <v>43742</v>
      </c>
      <c r="K151" s="574" t="s">
        <v>4196</v>
      </c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</row>
    <row r="152" spans="1:31" ht="15.75" customHeight="1">
      <c r="A152" s="575">
        <v>44103</v>
      </c>
      <c r="B152" s="576" t="s">
        <v>6398</v>
      </c>
      <c r="C152" s="405" t="s">
        <v>2929</v>
      </c>
      <c r="D152" s="561" t="s">
        <v>6343</v>
      </c>
      <c r="E152" s="573">
        <v>10000</v>
      </c>
      <c r="F152" s="561" t="s">
        <v>3043</v>
      </c>
      <c r="G152" s="571" t="s">
        <v>2931</v>
      </c>
      <c r="H152" s="571" t="s">
        <v>20</v>
      </c>
      <c r="I152" s="571" t="s">
        <v>2932</v>
      </c>
      <c r="J152" s="571">
        <v>43707</v>
      </c>
      <c r="K152" s="574" t="s">
        <v>3817</v>
      </c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</row>
    <row r="153" spans="1:31" ht="15.75" customHeight="1">
      <c r="A153" s="575">
        <v>44103</v>
      </c>
      <c r="B153" s="576" t="s">
        <v>6399</v>
      </c>
      <c r="C153" s="405" t="s">
        <v>3793</v>
      </c>
      <c r="D153" s="561" t="s">
        <v>6343</v>
      </c>
      <c r="E153" s="573">
        <v>4000</v>
      </c>
      <c r="F153" s="561" t="s">
        <v>4484</v>
      </c>
      <c r="G153" s="561" t="s">
        <v>2931</v>
      </c>
      <c r="H153" s="561" t="s">
        <v>20</v>
      </c>
      <c r="I153" s="561" t="s">
        <v>2931</v>
      </c>
      <c r="J153" s="571">
        <v>43901</v>
      </c>
      <c r="K153" s="577" t="s">
        <v>3797</v>
      </c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</row>
    <row r="154" spans="1:31" ht="15.75" customHeight="1">
      <c r="A154" s="575">
        <v>44103</v>
      </c>
      <c r="B154" s="576" t="s">
        <v>6349</v>
      </c>
      <c r="C154" s="405" t="s">
        <v>2929</v>
      </c>
      <c r="D154" s="561" t="s">
        <v>6343</v>
      </c>
      <c r="E154" s="573">
        <v>6000</v>
      </c>
      <c r="F154" s="561" t="s">
        <v>3198</v>
      </c>
      <c r="G154" s="571" t="s">
        <v>2931</v>
      </c>
      <c r="H154" s="571" t="s">
        <v>20</v>
      </c>
      <c r="I154" s="571" t="s">
        <v>2932</v>
      </c>
      <c r="J154" s="571">
        <v>43703</v>
      </c>
      <c r="K154" s="574" t="s">
        <v>4196</v>
      </c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</row>
    <row r="155" spans="1:31" ht="15.75" customHeight="1">
      <c r="A155" s="575">
        <v>44103</v>
      </c>
      <c r="B155" s="578" t="s">
        <v>6342</v>
      </c>
      <c r="C155" s="405" t="s">
        <v>2929</v>
      </c>
      <c r="D155" s="561" t="s">
        <v>6343</v>
      </c>
      <c r="E155" s="573">
        <v>1500</v>
      </c>
      <c r="F155" s="561" t="s">
        <v>3475</v>
      </c>
      <c r="G155" s="571" t="s">
        <v>2931</v>
      </c>
      <c r="H155" s="571" t="s">
        <v>20</v>
      </c>
      <c r="I155" s="571" t="s">
        <v>2932</v>
      </c>
      <c r="J155" s="571">
        <v>43675</v>
      </c>
      <c r="K155" s="574" t="s">
        <v>4196</v>
      </c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</row>
    <row r="156" spans="1:31" ht="15.75" customHeight="1">
      <c r="A156" s="571">
        <v>44105</v>
      </c>
      <c r="B156" s="572" t="s">
        <v>6363</v>
      </c>
      <c r="C156" s="561" t="s">
        <v>2929</v>
      </c>
      <c r="D156" s="561" t="s">
        <v>956</v>
      </c>
      <c r="E156" s="573">
        <v>17805.25</v>
      </c>
      <c r="F156" s="561" t="s">
        <v>3407</v>
      </c>
      <c r="G156" s="571" t="s">
        <v>2931</v>
      </c>
      <c r="H156" s="571" t="s">
        <v>20</v>
      </c>
      <c r="I156" s="571" t="s">
        <v>2932</v>
      </c>
      <c r="J156" s="571">
        <v>43699</v>
      </c>
      <c r="K156" s="574" t="s">
        <v>4196</v>
      </c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</row>
    <row r="157" spans="1:31" ht="15.75" customHeight="1">
      <c r="A157" s="571">
        <v>44105</v>
      </c>
      <c r="B157" s="580" t="s">
        <v>6382</v>
      </c>
      <c r="C157" s="561" t="s">
        <v>3793</v>
      </c>
      <c r="D157" s="561" t="s">
        <v>956</v>
      </c>
      <c r="E157" s="573">
        <v>0</v>
      </c>
      <c r="F157" s="561" t="s">
        <v>3309</v>
      </c>
      <c r="G157" s="561" t="s">
        <v>2931</v>
      </c>
      <c r="H157" s="561" t="s">
        <v>20</v>
      </c>
      <c r="I157" s="561" t="s">
        <v>2931</v>
      </c>
      <c r="J157" s="571">
        <v>43700</v>
      </c>
      <c r="K157" s="577" t="s">
        <v>3803</v>
      </c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</row>
    <row r="158" spans="1:31" ht="15.75" customHeight="1">
      <c r="A158" s="571">
        <v>44105</v>
      </c>
      <c r="B158" s="572" t="s">
        <v>6400</v>
      </c>
      <c r="C158" s="561" t="s">
        <v>3793</v>
      </c>
      <c r="D158" s="561" t="s">
        <v>956</v>
      </c>
      <c r="E158" s="573">
        <v>0</v>
      </c>
      <c r="F158" s="561" t="s">
        <v>5193</v>
      </c>
      <c r="G158" s="561" t="s">
        <v>19</v>
      </c>
      <c r="H158" s="561" t="s">
        <v>20</v>
      </c>
      <c r="I158" s="561" t="s">
        <v>5194</v>
      </c>
      <c r="J158" s="571">
        <v>43777</v>
      </c>
      <c r="K158" s="577" t="s">
        <v>4615</v>
      </c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</row>
    <row r="159" spans="1:31" ht="15.75" customHeight="1">
      <c r="A159" s="575">
        <v>44105</v>
      </c>
      <c r="B159" s="576" t="s">
        <v>6376</v>
      </c>
      <c r="C159" s="405" t="s">
        <v>2929</v>
      </c>
      <c r="D159" s="561" t="s">
        <v>6343</v>
      </c>
      <c r="E159" s="573">
        <v>20000</v>
      </c>
      <c r="F159" s="561" t="s">
        <v>3462</v>
      </c>
      <c r="G159" s="571" t="s">
        <v>2931</v>
      </c>
      <c r="H159" s="571" t="s">
        <v>20</v>
      </c>
      <c r="I159" s="571" t="s">
        <v>2932</v>
      </c>
      <c r="J159" s="571">
        <v>43840</v>
      </c>
      <c r="K159" s="574" t="s">
        <v>3813</v>
      </c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</row>
    <row r="160" spans="1:31" ht="15.75" customHeight="1">
      <c r="A160" s="571">
        <v>44109</v>
      </c>
      <c r="B160" s="580" t="s">
        <v>6401</v>
      </c>
      <c r="C160" s="561" t="s">
        <v>2929</v>
      </c>
      <c r="D160" s="561" t="s">
        <v>956</v>
      </c>
      <c r="E160" s="573">
        <v>379116.63</v>
      </c>
      <c r="F160" s="561" t="s">
        <v>3417</v>
      </c>
      <c r="G160" s="571" t="s">
        <v>2997</v>
      </c>
      <c r="H160" s="571" t="s">
        <v>20</v>
      </c>
      <c r="I160" s="571" t="s">
        <v>2997</v>
      </c>
      <c r="J160" s="571">
        <v>43426</v>
      </c>
      <c r="K160" s="574" t="s">
        <v>3817</v>
      </c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</row>
    <row r="161" spans="1:31" ht="15.75" customHeight="1">
      <c r="A161" s="575">
        <v>44109</v>
      </c>
      <c r="B161" s="576" t="s">
        <v>6392</v>
      </c>
      <c r="C161" s="405" t="s">
        <v>3793</v>
      </c>
      <c r="D161" s="561" t="s">
        <v>6343</v>
      </c>
      <c r="E161" s="573">
        <v>10000</v>
      </c>
      <c r="F161" s="561" t="s">
        <v>4867</v>
      </c>
      <c r="G161" s="561" t="s">
        <v>2931</v>
      </c>
      <c r="H161" s="561" t="s">
        <v>20</v>
      </c>
      <c r="I161" s="561" t="s">
        <v>2931</v>
      </c>
      <c r="J161" s="571">
        <v>44068</v>
      </c>
      <c r="K161" s="577" t="s">
        <v>3803</v>
      </c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</row>
    <row r="162" spans="1:31" ht="15.75" customHeight="1">
      <c r="A162" s="575">
        <v>44109</v>
      </c>
      <c r="B162" s="576" t="s">
        <v>6351</v>
      </c>
      <c r="C162" s="405" t="s">
        <v>2929</v>
      </c>
      <c r="D162" s="561" t="s">
        <v>6343</v>
      </c>
      <c r="E162" s="573">
        <v>10000</v>
      </c>
      <c r="F162" s="561" t="s">
        <v>3235</v>
      </c>
      <c r="G162" s="571" t="s">
        <v>2931</v>
      </c>
      <c r="H162" s="571" t="s">
        <v>20</v>
      </c>
      <c r="I162" s="571" t="s">
        <v>2932</v>
      </c>
      <c r="J162" s="571">
        <v>43605</v>
      </c>
      <c r="K162" s="574" t="s">
        <v>3813</v>
      </c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</row>
    <row r="163" spans="1:31" ht="15.75" customHeight="1">
      <c r="A163" s="575">
        <v>44109</v>
      </c>
      <c r="B163" s="576" t="s">
        <v>6370</v>
      </c>
      <c r="C163" s="405" t="s">
        <v>2929</v>
      </c>
      <c r="D163" s="561" t="s">
        <v>6343</v>
      </c>
      <c r="E163" s="573">
        <v>14000</v>
      </c>
      <c r="F163" s="561" t="s">
        <v>3356</v>
      </c>
      <c r="G163" s="571" t="s">
        <v>2931</v>
      </c>
      <c r="H163" s="571" t="s">
        <v>20</v>
      </c>
      <c r="I163" s="571" t="s">
        <v>2932</v>
      </c>
      <c r="J163" s="571">
        <v>43564</v>
      </c>
      <c r="K163" s="574" t="s">
        <v>3817</v>
      </c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</row>
    <row r="164" spans="1:31" ht="15.75" customHeight="1">
      <c r="A164" s="575">
        <v>44119</v>
      </c>
      <c r="B164" s="576" t="s">
        <v>6364</v>
      </c>
      <c r="C164" s="405" t="s">
        <v>2929</v>
      </c>
      <c r="D164" s="561" t="s">
        <v>6343</v>
      </c>
      <c r="E164" s="573">
        <v>7000</v>
      </c>
      <c r="F164" s="561" t="s">
        <v>3516</v>
      </c>
      <c r="G164" s="571" t="s">
        <v>2931</v>
      </c>
      <c r="H164" s="571" t="s">
        <v>20</v>
      </c>
      <c r="I164" s="571" t="s">
        <v>2932</v>
      </c>
      <c r="J164" s="571">
        <v>43717</v>
      </c>
      <c r="K164" s="574" t="s">
        <v>4196</v>
      </c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</row>
    <row r="165" spans="1:31" ht="15.75" customHeight="1">
      <c r="A165" s="575">
        <v>44120</v>
      </c>
      <c r="B165" s="578" t="s">
        <v>6392</v>
      </c>
      <c r="C165" s="405" t="s">
        <v>3793</v>
      </c>
      <c r="D165" s="561" t="s">
        <v>6343</v>
      </c>
      <c r="E165" s="573">
        <v>8000</v>
      </c>
      <c r="F165" s="561" t="s">
        <v>4867</v>
      </c>
      <c r="G165" s="561" t="s">
        <v>2931</v>
      </c>
      <c r="H165" s="561" t="s">
        <v>20</v>
      </c>
      <c r="I165" s="561" t="s">
        <v>2931</v>
      </c>
      <c r="J165" s="571">
        <v>44068</v>
      </c>
      <c r="K165" s="577" t="s">
        <v>3803</v>
      </c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</row>
    <row r="166" spans="1:31" ht="15.75" customHeight="1">
      <c r="A166" s="575">
        <v>44124</v>
      </c>
      <c r="B166" s="576" t="s">
        <v>6365</v>
      </c>
      <c r="C166" s="405" t="s">
        <v>2929</v>
      </c>
      <c r="D166" s="561" t="s">
        <v>6343</v>
      </c>
      <c r="E166" s="573">
        <v>140000</v>
      </c>
      <c r="F166" s="561" t="s">
        <v>3452</v>
      </c>
      <c r="G166" s="571" t="s">
        <v>2931</v>
      </c>
      <c r="H166" s="571" t="s">
        <v>20</v>
      </c>
      <c r="I166" s="571" t="s">
        <v>2932</v>
      </c>
      <c r="J166" s="571">
        <v>43894</v>
      </c>
      <c r="K166" s="574" t="s">
        <v>3813</v>
      </c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</row>
    <row r="167" spans="1:31" ht="15.75" customHeight="1">
      <c r="A167" s="575">
        <v>44124</v>
      </c>
      <c r="B167" s="576" t="s">
        <v>6402</v>
      </c>
      <c r="C167" s="405" t="s">
        <v>2929</v>
      </c>
      <c r="D167" s="561" t="s">
        <v>6343</v>
      </c>
      <c r="E167" s="573">
        <v>10000</v>
      </c>
      <c r="F167" s="561" t="s">
        <v>3380</v>
      </c>
      <c r="G167" s="571" t="s">
        <v>2931</v>
      </c>
      <c r="H167" s="571" t="s">
        <v>20</v>
      </c>
      <c r="I167" s="571" t="s">
        <v>2938</v>
      </c>
      <c r="J167" s="571">
        <v>43622</v>
      </c>
      <c r="K167" s="574" t="s">
        <v>3813</v>
      </c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</row>
    <row r="168" spans="1:31" ht="15.75" customHeight="1">
      <c r="A168" s="575">
        <v>44125</v>
      </c>
      <c r="B168" s="576" t="s">
        <v>6354</v>
      </c>
      <c r="C168" s="405" t="s">
        <v>3793</v>
      </c>
      <c r="D168" s="561" t="s">
        <v>6343</v>
      </c>
      <c r="E168" s="573">
        <v>130000</v>
      </c>
      <c r="F168" s="561" t="s">
        <v>4673</v>
      </c>
      <c r="G168" s="561" t="s">
        <v>2931</v>
      </c>
      <c r="H168" s="561" t="s">
        <v>20</v>
      </c>
      <c r="I168" s="561" t="s">
        <v>2931</v>
      </c>
      <c r="J168" s="571">
        <v>44252</v>
      </c>
      <c r="K168" s="577" t="s">
        <v>3813</v>
      </c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</row>
    <row r="169" spans="1:31" ht="15.75" customHeight="1">
      <c r="A169" s="575">
        <v>44127</v>
      </c>
      <c r="B169" s="576" t="s">
        <v>6370</v>
      </c>
      <c r="C169" s="405" t="s">
        <v>2929</v>
      </c>
      <c r="D169" s="561" t="s">
        <v>6343</v>
      </c>
      <c r="E169" s="573">
        <v>12000</v>
      </c>
      <c r="F169" s="561" t="s">
        <v>3356</v>
      </c>
      <c r="G169" s="571" t="s">
        <v>2931</v>
      </c>
      <c r="H169" s="571" t="s">
        <v>20</v>
      </c>
      <c r="I169" s="571" t="s">
        <v>2932</v>
      </c>
      <c r="J169" s="571">
        <v>43564</v>
      </c>
      <c r="K169" s="574" t="s">
        <v>3817</v>
      </c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</row>
    <row r="170" spans="1:31" ht="15.75" customHeight="1">
      <c r="A170" s="575">
        <v>44130</v>
      </c>
      <c r="B170" s="576" t="s">
        <v>6351</v>
      </c>
      <c r="C170" s="405" t="s">
        <v>2929</v>
      </c>
      <c r="D170" s="561" t="s">
        <v>6343</v>
      </c>
      <c r="E170" s="573">
        <v>34182</v>
      </c>
      <c r="F170" s="561" t="s">
        <v>3235</v>
      </c>
      <c r="G170" s="571" t="s">
        <v>2931</v>
      </c>
      <c r="H170" s="571" t="s">
        <v>20</v>
      </c>
      <c r="I170" s="571" t="s">
        <v>2932</v>
      </c>
      <c r="J170" s="571">
        <v>43605</v>
      </c>
      <c r="K170" s="574" t="s">
        <v>3813</v>
      </c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</row>
    <row r="171" spans="1:31" ht="15.75" customHeight="1">
      <c r="A171" s="575">
        <v>44131</v>
      </c>
      <c r="B171" s="576" t="s">
        <v>6392</v>
      </c>
      <c r="C171" s="405" t="s">
        <v>3793</v>
      </c>
      <c r="D171" s="561" t="s">
        <v>6343</v>
      </c>
      <c r="E171" s="573">
        <v>20000</v>
      </c>
      <c r="F171" s="561" t="s">
        <v>4867</v>
      </c>
      <c r="G171" s="561" t="s">
        <v>2931</v>
      </c>
      <c r="H171" s="561" t="s">
        <v>20</v>
      </c>
      <c r="I171" s="561" t="s">
        <v>2931</v>
      </c>
      <c r="J171" s="571">
        <v>44068</v>
      </c>
      <c r="K171" s="577" t="s">
        <v>3803</v>
      </c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</row>
    <row r="172" spans="1:31" ht="15.75" customHeight="1">
      <c r="A172" s="575">
        <v>44131</v>
      </c>
      <c r="B172" s="576" t="s">
        <v>6376</v>
      </c>
      <c r="C172" s="405" t="s">
        <v>2929</v>
      </c>
      <c r="D172" s="561" t="s">
        <v>6343</v>
      </c>
      <c r="E172" s="573">
        <v>20000</v>
      </c>
      <c r="F172" s="561" t="s">
        <v>3462</v>
      </c>
      <c r="G172" s="571" t="s">
        <v>2931</v>
      </c>
      <c r="H172" s="571" t="s">
        <v>20</v>
      </c>
      <c r="I172" s="571" t="s">
        <v>2932</v>
      </c>
      <c r="J172" s="571">
        <v>43840</v>
      </c>
      <c r="K172" s="574" t="s">
        <v>3813</v>
      </c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</row>
    <row r="173" spans="1:31" ht="15.75" customHeight="1">
      <c r="A173" s="575">
        <v>44131</v>
      </c>
      <c r="B173" s="576" t="s">
        <v>6367</v>
      </c>
      <c r="C173" s="405" t="s">
        <v>2929</v>
      </c>
      <c r="D173" s="561" t="s">
        <v>6343</v>
      </c>
      <c r="E173" s="573">
        <v>3000</v>
      </c>
      <c r="F173" s="561" t="s">
        <v>2994</v>
      </c>
      <c r="G173" s="571" t="s">
        <v>2931</v>
      </c>
      <c r="H173" s="571" t="s">
        <v>20</v>
      </c>
      <c r="I173" s="571" t="s">
        <v>2932</v>
      </c>
      <c r="J173" s="571">
        <v>43867</v>
      </c>
      <c r="K173" s="574" t="s">
        <v>3803</v>
      </c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</row>
    <row r="174" spans="1:31" ht="15.75" customHeight="1">
      <c r="A174" s="575">
        <v>44131</v>
      </c>
      <c r="B174" s="576" t="s">
        <v>6349</v>
      </c>
      <c r="C174" s="405" t="s">
        <v>2929</v>
      </c>
      <c r="D174" s="561" t="s">
        <v>6343</v>
      </c>
      <c r="E174" s="573">
        <v>7000</v>
      </c>
      <c r="F174" s="561" t="s">
        <v>3198</v>
      </c>
      <c r="G174" s="571" t="s">
        <v>2931</v>
      </c>
      <c r="H174" s="571" t="s">
        <v>20</v>
      </c>
      <c r="I174" s="571" t="s">
        <v>2932</v>
      </c>
      <c r="J174" s="571">
        <v>43703</v>
      </c>
      <c r="K174" s="574" t="s">
        <v>4196</v>
      </c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</row>
    <row r="175" spans="1:31" ht="15.75" customHeight="1">
      <c r="A175" s="575">
        <v>44131</v>
      </c>
      <c r="B175" s="576" t="s">
        <v>6380</v>
      </c>
      <c r="C175" s="405" t="s">
        <v>2929</v>
      </c>
      <c r="D175" s="561" t="s">
        <v>6343</v>
      </c>
      <c r="E175" s="573">
        <v>10000</v>
      </c>
      <c r="F175" s="561" t="s">
        <v>3298</v>
      </c>
      <c r="G175" s="571" t="s">
        <v>2931</v>
      </c>
      <c r="H175" s="571" t="s">
        <v>20</v>
      </c>
      <c r="I175" s="571" t="s">
        <v>2932</v>
      </c>
      <c r="J175" s="571">
        <v>43732</v>
      </c>
      <c r="K175" s="574" t="s">
        <v>4196</v>
      </c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</row>
    <row r="176" spans="1:31" ht="15.75" customHeight="1">
      <c r="A176" s="571">
        <v>44132</v>
      </c>
      <c r="B176" s="572" t="s">
        <v>6403</v>
      </c>
      <c r="C176" s="561" t="s">
        <v>2929</v>
      </c>
      <c r="D176" s="561" t="s">
        <v>956</v>
      </c>
      <c r="E176" s="573">
        <v>191544.71</v>
      </c>
      <c r="F176" s="561" t="s">
        <v>3536</v>
      </c>
      <c r="G176" s="571" t="s">
        <v>2997</v>
      </c>
      <c r="H176" s="571" t="s">
        <v>20</v>
      </c>
      <c r="I176" s="571" t="s">
        <v>2997</v>
      </c>
      <c r="J176" s="571">
        <v>43494</v>
      </c>
      <c r="K176" s="574" t="s">
        <v>3817</v>
      </c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</row>
    <row r="177" spans="1:31" ht="15.75" customHeight="1">
      <c r="A177" s="575">
        <v>44133</v>
      </c>
      <c r="B177" s="576" t="s">
        <v>6404</v>
      </c>
      <c r="C177" s="405" t="s">
        <v>2929</v>
      </c>
      <c r="D177" s="561" t="s">
        <v>6343</v>
      </c>
      <c r="E177" s="573">
        <v>9600</v>
      </c>
      <c r="F177" s="561" t="s">
        <v>3369</v>
      </c>
      <c r="G177" s="571" t="s">
        <v>2931</v>
      </c>
      <c r="H177" s="571" t="s">
        <v>20</v>
      </c>
      <c r="I177" s="571" t="s">
        <v>2932</v>
      </c>
      <c r="J177" s="571">
        <v>43873</v>
      </c>
      <c r="K177" s="574" t="s">
        <v>3803</v>
      </c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</row>
    <row r="178" spans="1:31" ht="15.75" customHeight="1">
      <c r="A178" s="575">
        <v>44133</v>
      </c>
      <c r="B178" s="576" t="s">
        <v>6351</v>
      </c>
      <c r="C178" s="405" t="s">
        <v>2929</v>
      </c>
      <c r="D178" s="561" t="s">
        <v>6343</v>
      </c>
      <c r="E178" s="573">
        <v>8000</v>
      </c>
      <c r="F178" s="561" t="s">
        <v>3235</v>
      </c>
      <c r="G178" s="571" t="s">
        <v>2931</v>
      </c>
      <c r="H178" s="571" t="s">
        <v>20</v>
      </c>
      <c r="I178" s="571" t="s">
        <v>2932</v>
      </c>
      <c r="J178" s="571">
        <v>43605</v>
      </c>
      <c r="K178" s="574" t="s">
        <v>3813</v>
      </c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</row>
    <row r="179" spans="1:31" ht="15.75" customHeight="1">
      <c r="A179" s="575">
        <v>44138</v>
      </c>
      <c r="B179" s="576" t="s">
        <v>6342</v>
      </c>
      <c r="C179" s="405" t="s">
        <v>2929</v>
      </c>
      <c r="D179" s="561" t="s">
        <v>6343</v>
      </c>
      <c r="E179" s="573">
        <v>100000</v>
      </c>
      <c r="F179" s="561" t="s">
        <v>3475</v>
      </c>
      <c r="G179" s="571" t="s">
        <v>2931</v>
      </c>
      <c r="H179" s="571" t="s">
        <v>20</v>
      </c>
      <c r="I179" s="571" t="s">
        <v>2932</v>
      </c>
      <c r="J179" s="571">
        <v>43675</v>
      </c>
      <c r="K179" s="574" t="s">
        <v>4196</v>
      </c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</row>
    <row r="180" spans="1:31" ht="15.75" customHeight="1">
      <c r="A180" s="575">
        <v>44138</v>
      </c>
      <c r="B180" s="578" t="s">
        <v>6375</v>
      </c>
      <c r="C180" s="405" t="s">
        <v>2929</v>
      </c>
      <c r="D180" s="561" t="s">
        <v>6343</v>
      </c>
      <c r="E180" s="573">
        <v>30000</v>
      </c>
      <c r="F180" s="561" t="s">
        <v>3171</v>
      </c>
      <c r="G180" s="571" t="s">
        <v>2931</v>
      </c>
      <c r="H180" s="571" t="s">
        <v>20</v>
      </c>
      <c r="I180" s="571" t="s">
        <v>2932</v>
      </c>
      <c r="J180" s="571">
        <v>43888</v>
      </c>
      <c r="K180" s="574" t="s">
        <v>3803</v>
      </c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</row>
    <row r="181" spans="1:31" ht="15.75" customHeight="1">
      <c r="A181" s="575">
        <v>44138</v>
      </c>
      <c r="B181" s="576" t="s">
        <v>6351</v>
      </c>
      <c r="C181" s="405" t="s">
        <v>2929</v>
      </c>
      <c r="D181" s="561" t="s">
        <v>6343</v>
      </c>
      <c r="E181" s="573">
        <v>6000</v>
      </c>
      <c r="F181" s="561" t="s">
        <v>3235</v>
      </c>
      <c r="G181" s="571" t="s">
        <v>2931</v>
      </c>
      <c r="H181" s="571" t="s">
        <v>20</v>
      </c>
      <c r="I181" s="571" t="s">
        <v>2932</v>
      </c>
      <c r="J181" s="571">
        <v>43605</v>
      </c>
      <c r="K181" s="574" t="s">
        <v>3813</v>
      </c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</row>
    <row r="182" spans="1:31" ht="15.75" customHeight="1">
      <c r="A182" s="575">
        <v>44138</v>
      </c>
      <c r="B182" s="576" t="s">
        <v>6357</v>
      </c>
      <c r="C182" s="405" t="s">
        <v>2929</v>
      </c>
      <c r="D182" s="561" t="s">
        <v>6343</v>
      </c>
      <c r="E182" s="573">
        <v>6000</v>
      </c>
      <c r="F182" s="561" t="s">
        <v>3243</v>
      </c>
      <c r="G182" s="571" t="s">
        <v>2931</v>
      </c>
      <c r="H182" s="571" t="s">
        <v>20</v>
      </c>
      <c r="I182" s="571" t="s">
        <v>2938</v>
      </c>
      <c r="J182" s="571">
        <v>43559</v>
      </c>
      <c r="K182" s="574" t="s">
        <v>4196</v>
      </c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</row>
    <row r="183" spans="1:31" ht="15.75" customHeight="1">
      <c r="A183" s="575">
        <v>44138</v>
      </c>
      <c r="B183" s="576" t="s">
        <v>6349</v>
      </c>
      <c r="C183" s="405" t="s">
        <v>2929</v>
      </c>
      <c r="D183" s="561" t="s">
        <v>6343</v>
      </c>
      <c r="E183" s="573">
        <v>6300</v>
      </c>
      <c r="F183" s="561" t="s">
        <v>3198</v>
      </c>
      <c r="G183" s="571" t="s">
        <v>2931</v>
      </c>
      <c r="H183" s="571" t="s">
        <v>20</v>
      </c>
      <c r="I183" s="571" t="s">
        <v>2932</v>
      </c>
      <c r="J183" s="571">
        <v>43703</v>
      </c>
      <c r="K183" s="574" t="s">
        <v>4196</v>
      </c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</row>
    <row r="184" spans="1:31" ht="15.75" customHeight="1">
      <c r="A184" s="575">
        <v>44138</v>
      </c>
      <c r="B184" s="576" t="s">
        <v>6349</v>
      </c>
      <c r="C184" s="405" t="s">
        <v>2929</v>
      </c>
      <c r="D184" s="561" t="s">
        <v>6343</v>
      </c>
      <c r="E184" s="573">
        <v>10000</v>
      </c>
      <c r="F184" s="561" t="s">
        <v>3198</v>
      </c>
      <c r="G184" s="571" t="s">
        <v>2931</v>
      </c>
      <c r="H184" s="571" t="s">
        <v>20</v>
      </c>
      <c r="I184" s="571" t="s">
        <v>2932</v>
      </c>
      <c r="J184" s="571">
        <v>43703</v>
      </c>
      <c r="K184" s="574" t="s">
        <v>4196</v>
      </c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</row>
    <row r="185" spans="1:31" ht="15.75" customHeight="1">
      <c r="A185" s="575">
        <v>44138</v>
      </c>
      <c r="B185" s="576" t="s">
        <v>6392</v>
      </c>
      <c r="C185" s="405" t="s">
        <v>3793</v>
      </c>
      <c r="D185" s="561" t="s">
        <v>6343</v>
      </c>
      <c r="E185" s="573">
        <v>5000</v>
      </c>
      <c r="F185" s="561" t="s">
        <v>4867</v>
      </c>
      <c r="G185" s="561" t="s">
        <v>2931</v>
      </c>
      <c r="H185" s="561" t="s">
        <v>20</v>
      </c>
      <c r="I185" s="561" t="s">
        <v>2931</v>
      </c>
      <c r="J185" s="571">
        <v>44068</v>
      </c>
      <c r="K185" s="577" t="s">
        <v>3803</v>
      </c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</row>
    <row r="186" spans="1:31" ht="15.75" customHeight="1">
      <c r="A186" s="575">
        <v>44139</v>
      </c>
      <c r="B186" s="576" t="s">
        <v>6405</v>
      </c>
      <c r="C186" s="405" t="s">
        <v>2929</v>
      </c>
      <c r="D186" s="561" t="s">
        <v>6343</v>
      </c>
      <c r="E186" s="573">
        <v>10000</v>
      </c>
      <c r="F186" s="561" t="s">
        <v>3204</v>
      </c>
      <c r="G186" s="571" t="s">
        <v>2931</v>
      </c>
      <c r="H186" s="571" t="s">
        <v>20</v>
      </c>
      <c r="I186" s="571" t="s">
        <v>2932</v>
      </c>
      <c r="J186" s="571">
        <v>43875</v>
      </c>
      <c r="K186" s="574" t="s">
        <v>3813</v>
      </c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</row>
    <row r="187" spans="1:31" ht="15.75" customHeight="1">
      <c r="A187" s="575">
        <v>44139</v>
      </c>
      <c r="B187" s="576" t="s">
        <v>6402</v>
      </c>
      <c r="C187" s="405" t="s">
        <v>2929</v>
      </c>
      <c r="D187" s="561" t="s">
        <v>6343</v>
      </c>
      <c r="E187" s="573">
        <v>20000</v>
      </c>
      <c r="F187" s="561" t="s">
        <v>3380</v>
      </c>
      <c r="G187" s="571" t="s">
        <v>2931</v>
      </c>
      <c r="H187" s="571" t="s">
        <v>20</v>
      </c>
      <c r="I187" s="571" t="s">
        <v>2938</v>
      </c>
      <c r="J187" s="571">
        <v>43622</v>
      </c>
      <c r="K187" s="574" t="s">
        <v>3813</v>
      </c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</row>
    <row r="188" spans="1:31" ht="15.75" customHeight="1">
      <c r="A188" s="575">
        <v>44139</v>
      </c>
      <c r="B188" s="576" t="s">
        <v>3636</v>
      </c>
      <c r="C188" s="405" t="s">
        <v>3613</v>
      </c>
      <c r="D188" s="561" t="s">
        <v>6343</v>
      </c>
      <c r="E188" s="573">
        <v>30000</v>
      </c>
      <c r="F188" s="561" t="s">
        <v>3635</v>
      </c>
      <c r="G188" s="571" t="s">
        <v>19</v>
      </c>
      <c r="H188" s="571" t="s">
        <v>20</v>
      </c>
      <c r="I188" s="571" t="s">
        <v>19</v>
      </c>
      <c r="J188" s="571">
        <v>44062</v>
      </c>
      <c r="K188" s="574" t="s">
        <v>3803</v>
      </c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</row>
    <row r="189" spans="1:31" ht="15.75" customHeight="1">
      <c r="A189" s="575">
        <v>44139</v>
      </c>
      <c r="B189" s="576" t="s">
        <v>3697</v>
      </c>
      <c r="C189" s="405" t="s">
        <v>3613</v>
      </c>
      <c r="D189" s="561" t="s">
        <v>6343</v>
      </c>
      <c r="E189" s="573">
        <v>28000</v>
      </c>
      <c r="F189" s="561" t="s">
        <v>3696</v>
      </c>
      <c r="G189" s="571" t="s">
        <v>19</v>
      </c>
      <c r="H189" s="571" t="s">
        <v>20</v>
      </c>
      <c r="I189" s="571" t="s">
        <v>3080</v>
      </c>
      <c r="J189" s="571">
        <v>43635</v>
      </c>
      <c r="K189" s="574" t="s">
        <v>4196</v>
      </c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</row>
    <row r="190" spans="1:31" ht="15.75" customHeight="1">
      <c r="A190" s="575">
        <v>44141</v>
      </c>
      <c r="B190" s="576" t="s">
        <v>6356</v>
      </c>
      <c r="C190" s="405" t="s">
        <v>2929</v>
      </c>
      <c r="D190" s="561" t="s">
        <v>6343</v>
      </c>
      <c r="E190" s="573">
        <v>1800000</v>
      </c>
      <c r="F190" s="561" t="s">
        <v>3261</v>
      </c>
      <c r="G190" s="571" t="s">
        <v>2931</v>
      </c>
      <c r="H190" s="571" t="s">
        <v>20</v>
      </c>
      <c r="I190" s="571" t="s">
        <v>2938</v>
      </c>
      <c r="J190" s="571">
        <v>43664</v>
      </c>
      <c r="K190" s="574" t="s">
        <v>4196</v>
      </c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</row>
    <row r="191" spans="1:31" ht="15.75" customHeight="1">
      <c r="A191" s="575">
        <v>44144</v>
      </c>
      <c r="B191" s="576" t="s">
        <v>6351</v>
      </c>
      <c r="C191" s="405" t="s">
        <v>2929</v>
      </c>
      <c r="D191" s="561" t="s">
        <v>6343</v>
      </c>
      <c r="E191" s="573">
        <v>15000</v>
      </c>
      <c r="F191" s="561" t="s">
        <v>3235</v>
      </c>
      <c r="G191" s="571" t="s">
        <v>2931</v>
      </c>
      <c r="H191" s="571" t="s">
        <v>20</v>
      </c>
      <c r="I191" s="571" t="s">
        <v>2932</v>
      </c>
      <c r="J191" s="571">
        <v>43605</v>
      </c>
      <c r="K191" s="574" t="s">
        <v>3813</v>
      </c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</row>
    <row r="192" spans="1:31" ht="15.75" customHeight="1">
      <c r="A192" s="575">
        <v>44144</v>
      </c>
      <c r="B192" s="576" t="s">
        <v>6364</v>
      </c>
      <c r="C192" s="405" t="s">
        <v>2929</v>
      </c>
      <c r="D192" s="561" t="s">
        <v>6343</v>
      </c>
      <c r="E192" s="573">
        <v>7000</v>
      </c>
      <c r="F192" s="561" t="s">
        <v>3516</v>
      </c>
      <c r="G192" s="571" t="s">
        <v>2931</v>
      </c>
      <c r="H192" s="571" t="s">
        <v>20</v>
      </c>
      <c r="I192" s="571" t="s">
        <v>2932</v>
      </c>
      <c r="J192" s="571">
        <v>43717</v>
      </c>
      <c r="K192" s="574" t="s">
        <v>4196</v>
      </c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</row>
    <row r="193" spans="1:31" ht="15.75" customHeight="1">
      <c r="A193" s="575">
        <v>44145</v>
      </c>
      <c r="B193" s="578" t="s">
        <v>6375</v>
      </c>
      <c r="C193" s="405" t="s">
        <v>2929</v>
      </c>
      <c r="D193" s="561" t="s">
        <v>6343</v>
      </c>
      <c r="E193" s="573">
        <v>90562.43</v>
      </c>
      <c r="F193" s="561" t="s">
        <v>3171</v>
      </c>
      <c r="G193" s="571" t="s">
        <v>2931</v>
      </c>
      <c r="H193" s="571" t="s">
        <v>20</v>
      </c>
      <c r="I193" s="571" t="s">
        <v>2932</v>
      </c>
      <c r="J193" s="571">
        <v>43888</v>
      </c>
      <c r="K193" s="574" t="s">
        <v>3803</v>
      </c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</row>
    <row r="194" spans="1:31" ht="15.75" customHeight="1">
      <c r="A194" s="575">
        <v>44145</v>
      </c>
      <c r="B194" s="576" t="s">
        <v>6345</v>
      </c>
      <c r="C194" s="405" t="s">
        <v>3793</v>
      </c>
      <c r="D194" s="561" t="s">
        <v>6343</v>
      </c>
      <c r="E194" s="573">
        <v>45400</v>
      </c>
      <c r="F194" s="561" t="s">
        <v>5056</v>
      </c>
      <c r="G194" s="561" t="s">
        <v>2931</v>
      </c>
      <c r="H194" s="561" t="s">
        <v>20</v>
      </c>
      <c r="I194" s="561" t="s">
        <v>2931</v>
      </c>
      <c r="J194" s="571">
        <v>43749</v>
      </c>
      <c r="K194" s="577" t="s">
        <v>4196</v>
      </c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</row>
    <row r="195" spans="1:31" ht="15.75" customHeight="1">
      <c r="A195" s="575">
        <v>44147</v>
      </c>
      <c r="B195" s="576" t="s">
        <v>6350</v>
      </c>
      <c r="C195" s="405" t="s">
        <v>2929</v>
      </c>
      <c r="D195" s="561" t="s">
        <v>6343</v>
      </c>
      <c r="E195" s="573">
        <v>10000</v>
      </c>
      <c r="F195" s="561" t="s">
        <v>3564</v>
      </c>
      <c r="G195" s="571" t="s">
        <v>2931</v>
      </c>
      <c r="H195" s="571" t="s">
        <v>20</v>
      </c>
      <c r="I195" s="571" t="s">
        <v>2932</v>
      </c>
      <c r="J195" s="571">
        <v>43567</v>
      </c>
      <c r="K195" s="574" t="s">
        <v>3803</v>
      </c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</row>
    <row r="196" spans="1:31" ht="15.75" customHeight="1">
      <c r="A196" s="575">
        <v>44147</v>
      </c>
      <c r="B196" s="576" t="s">
        <v>6406</v>
      </c>
      <c r="C196" s="405" t="s">
        <v>3793</v>
      </c>
      <c r="D196" s="561" t="s">
        <v>6343</v>
      </c>
      <c r="E196" s="573">
        <v>20000</v>
      </c>
      <c r="F196" s="561" t="s">
        <v>4622</v>
      </c>
      <c r="G196" s="561" t="s">
        <v>2931</v>
      </c>
      <c r="H196" s="561" t="s">
        <v>20</v>
      </c>
      <c r="I196" s="561" t="s">
        <v>2931</v>
      </c>
      <c r="J196" s="571">
        <v>43717</v>
      </c>
      <c r="K196" s="577" t="s">
        <v>4196</v>
      </c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</row>
    <row r="197" spans="1:31" ht="15.75" customHeight="1">
      <c r="A197" s="575">
        <v>44147</v>
      </c>
      <c r="B197" s="576" t="s">
        <v>6393</v>
      </c>
      <c r="C197" s="405" t="s">
        <v>2929</v>
      </c>
      <c r="D197" s="561" t="s">
        <v>6343</v>
      </c>
      <c r="E197" s="573">
        <v>50000</v>
      </c>
      <c r="F197" s="561" t="s">
        <v>3503</v>
      </c>
      <c r="G197" s="571" t="s">
        <v>2931</v>
      </c>
      <c r="H197" s="571" t="s">
        <v>20</v>
      </c>
      <c r="I197" s="571" t="s">
        <v>2932</v>
      </c>
      <c r="J197" s="571">
        <v>44041</v>
      </c>
      <c r="K197" s="574" t="s">
        <v>3803</v>
      </c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</row>
    <row r="198" spans="1:31" ht="15.75" customHeight="1">
      <c r="A198" s="575">
        <v>44151</v>
      </c>
      <c r="B198" s="576" t="s">
        <v>3702</v>
      </c>
      <c r="C198" s="405" t="s">
        <v>3613</v>
      </c>
      <c r="D198" s="561" t="s">
        <v>6343</v>
      </c>
      <c r="E198" s="573">
        <v>6000</v>
      </c>
      <c r="F198" s="561" t="s">
        <v>3701</v>
      </c>
      <c r="G198" s="571" t="s">
        <v>19</v>
      </c>
      <c r="H198" s="571" t="s">
        <v>20</v>
      </c>
      <c r="I198" s="571" t="s">
        <v>2518</v>
      </c>
      <c r="J198" s="571">
        <v>43797</v>
      </c>
      <c r="K198" s="574" t="s">
        <v>3813</v>
      </c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</row>
    <row r="199" spans="1:31" ht="15.75" customHeight="1">
      <c r="A199" s="575">
        <v>44152</v>
      </c>
      <c r="B199" s="576" t="s">
        <v>6392</v>
      </c>
      <c r="C199" s="405" t="s">
        <v>3793</v>
      </c>
      <c r="D199" s="561" t="s">
        <v>6343</v>
      </c>
      <c r="E199" s="573">
        <v>20000</v>
      </c>
      <c r="F199" s="561" t="s">
        <v>4867</v>
      </c>
      <c r="G199" s="561" t="s">
        <v>2931</v>
      </c>
      <c r="H199" s="561" t="s">
        <v>20</v>
      </c>
      <c r="I199" s="561" t="s">
        <v>2931</v>
      </c>
      <c r="J199" s="571">
        <v>44068</v>
      </c>
      <c r="K199" s="577" t="s">
        <v>3803</v>
      </c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</row>
    <row r="200" spans="1:31" ht="15.75" customHeight="1">
      <c r="A200" s="571">
        <v>44153</v>
      </c>
      <c r="B200" s="572" t="s">
        <v>6376</v>
      </c>
      <c r="C200" s="561" t="s">
        <v>2929</v>
      </c>
      <c r="D200" s="561" t="s">
        <v>956</v>
      </c>
      <c r="E200" s="573">
        <v>90562.43</v>
      </c>
      <c r="F200" s="561" t="s">
        <v>3462</v>
      </c>
      <c r="G200" s="571" t="s">
        <v>2931</v>
      </c>
      <c r="H200" s="571" t="s">
        <v>20</v>
      </c>
      <c r="I200" s="571" t="s">
        <v>2932</v>
      </c>
      <c r="J200" s="571">
        <v>43840</v>
      </c>
      <c r="K200" s="574" t="s">
        <v>3813</v>
      </c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</row>
    <row r="201" spans="1:31" ht="15.75" customHeight="1">
      <c r="A201" s="575">
        <v>44153</v>
      </c>
      <c r="B201" s="576" t="s">
        <v>6376</v>
      </c>
      <c r="C201" s="405" t="s">
        <v>2929</v>
      </c>
      <c r="D201" s="561" t="s">
        <v>6343</v>
      </c>
      <c r="E201" s="579">
        <v>30000</v>
      </c>
      <c r="F201" s="561" t="s">
        <v>3462</v>
      </c>
      <c r="G201" s="571" t="s">
        <v>2931</v>
      </c>
      <c r="H201" s="571" t="s">
        <v>20</v>
      </c>
      <c r="I201" s="571" t="s">
        <v>2932</v>
      </c>
      <c r="J201" s="571">
        <v>43840</v>
      </c>
      <c r="K201" s="574" t="s">
        <v>3813</v>
      </c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</row>
    <row r="202" spans="1:31" ht="15.75" customHeight="1">
      <c r="A202" s="575">
        <v>44159</v>
      </c>
      <c r="B202" s="576" t="s">
        <v>6351</v>
      </c>
      <c r="C202" s="405" t="s">
        <v>2929</v>
      </c>
      <c r="D202" s="561" t="s">
        <v>6343</v>
      </c>
      <c r="E202" s="573">
        <v>7000</v>
      </c>
      <c r="F202" s="561" t="s">
        <v>3235</v>
      </c>
      <c r="G202" s="571" t="s">
        <v>2931</v>
      </c>
      <c r="H202" s="571" t="s">
        <v>20</v>
      </c>
      <c r="I202" s="571" t="s">
        <v>2932</v>
      </c>
      <c r="J202" s="571">
        <v>43605</v>
      </c>
      <c r="K202" s="574" t="s">
        <v>3813</v>
      </c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</row>
    <row r="203" spans="1:31" ht="15.75" customHeight="1">
      <c r="A203" s="575">
        <v>44160</v>
      </c>
      <c r="B203" s="576" t="s">
        <v>6349</v>
      </c>
      <c r="C203" s="405" t="s">
        <v>2929</v>
      </c>
      <c r="D203" s="561" t="s">
        <v>6343</v>
      </c>
      <c r="E203" s="573">
        <v>112433.37</v>
      </c>
      <c r="F203" s="561" t="s">
        <v>3198</v>
      </c>
      <c r="G203" s="571" t="s">
        <v>2931</v>
      </c>
      <c r="H203" s="571" t="s">
        <v>20</v>
      </c>
      <c r="I203" s="571" t="s">
        <v>2932</v>
      </c>
      <c r="J203" s="571">
        <v>43703</v>
      </c>
      <c r="K203" s="574" t="s">
        <v>4196</v>
      </c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</row>
    <row r="204" spans="1:31" ht="15.75" customHeight="1">
      <c r="A204" s="575">
        <v>44161</v>
      </c>
      <c r="B204" s="576" t="s">
        <v>6392</v>
      </c>
      <c r="C204" s="405" t="s">
        <v>3793</v>
      </c>
      <c r="D204" s="561" t="s">
        <v>6343</v>
      </c>
      <c r="E204" s="573">
        <v>286876.15999999997</v>
      </c>
      <c r="F204" s="561" t="s">
        <v>4867</v>
      </c>
      <c r="G204" s="561" t="s">
        <v>2931</v>
      </c>
      <c r="H204" s="561" t="s">
        <v>20</v>
      </c>
      <c r="I204" s="561" t="s">
        <v>2931</v>
      </c>
      <c r="J204" s="571">
        <v>44068</v>
      </c>
      <c r="K204" s="577" t="s">
        <v>3803</v>
      </c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</row>
    <row r="205" spans="1:31" ht="15.75" customHeight="1">
      <c r="A205" s="575">
        <v>44165</v>
      </c>
      <c r="B205" s="576" t="s">
        <v>6350</v>
      </c>
      <c r="C205" s="405" t="s">
        <v>2929</v>
      </c>
      <c r="D205" s="561" t="s">
        <v>6343</v>
      </c>
      <c r="E205" s="573">
        <v>34941.81</v>
      </c>
      <c r="F205" s="561" t="s">
        <v>3564</v>
      </c>
      <c r="G205" s="571" t="s">
        <v>2931</v>
      </c>
      <c r="H205" s="571" t="s">
        <v>20</v>
      </c>
      <c r="I205" s="571" t="s">
        <v>2932</v>
      </c>
      <c r="J205" s="571">
        <v>43567</v>
      </c>
      <c r="K205" s="574" t="s">
        <v>3803</v>
      </c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</row>
    <row r="206" spans="1:31" ht="15.75" customHeight="1">
      <c r="A206" s="575">
        <v>44166</v>
      </c>
      <c r="B206" s="576" t="s">
        <v>6342</v>
      </c>
      <c r="C206" s="405" t="s">
        <v>2929</v>
      </c>
      <c r="D206" s="561" t="s">
        <v>6343</v>
      </c>
      <c r="E206" s="573">
        <v>130950.51000000001</v>
      </c>
      <c r="F206" s="561" t="s">
        <v>3475</v>
      </c>
      <c r="G206" s="571" t="s">
        <v>2931</v>
      </c>
      <c r="H206" s="571" t="s">
        <v>20</v>
      </c>
      <c r="I206" s="571" t="s">
        <v>2932</v>
      </c>
      <c r="J206" s="571">
        <v>43675</v>
      </c>
      <c r="K206" s="574" t="s">
        <v>4196</v>
      </c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</row>
    <row r="207" spans="1:31" ht="15.75" customHeight="1">
      <c r="A207" s="575">
        <v>44166</v>
      </c>
      <c r="B207" s="576" t="s">
        <v>6364</v>
      </c>
      <c r="C207" s="405" t="s">
        <v>2929</v>
      </c>
      <c r="D207" s="561" t="s">
        <v>6343</v>
      </c>
      <c r="E207" s="573">
        <v>10000</v>
      </c>
      <c r="F207" s="561" t="s">
        <v>3516</v>
      </c>
      <c r="G207" s="571" t="s">
        <v>2931</v>
      </c>
      <c r="H207" s="571" t="s">
        <v>20</v>
      </c>
      <c r="I207" s="571" t="s">
        <v>2932</v>
      </c>
      <c r="J207" s="571">
        <v>43717</v>
      </c>
      <c r="K207" s="574" t="s">
        <v>4196</v>
      </c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</row>
    <row r="208" spans="1:31" ht="15.75" customHeight="1">
      <c r="A208" s="575">
        <v>44172</v>
      </c>
      <c r="B208" s="578" t="s">
        <v>6375</v>
      </c>
      <c r="C208" s="405" t="s">
        <v>2929</v>
      </c>
      <c r="D208" s="561" t="s">
        <v>6343</v>
      </c>
      <c r="E208" s="573">
        <v>5500</v>
      </c>
      <c r="F208" s="561" t="s">
        <v>3171</v>
      </c>
      <c r="G208" s="571" t="s">
        <v>2931</v>
      </c>
      <c r="H208" s="571" t="s">
        <v>20</v>
      </c>
      <c r="I208" s="571" t="s">
        <v>2932</v>
      </c>
      <c r="J208" s="571">
        <v>43888</v>
      </c>
      <c r="K208" s="574" t="s">
        <v>3803</v>
      </c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</row>
    <row r="209" spans="1:31" ht="15.75" customHeight="1">
      <c r="A209" s="575">
        <v>44172</v>
      </c>
      <c r="B209" s="576" t="s">
        <v>6357</v>
      </c>
      <c r="C209" s="405" t="s">
        <v>2929</v>
      </c>
      <c r="D209" s="561" t="s">
        <v>6343</v>
      </c>
      <c r="E209" s="573">
        <v>35000</v>
      </c>
      <c r="F209" s="561" t="s">
        <v>3243</v>
      </c>
      <c r="G209" s="571" t="s">
        <v>2931</v>
      </c>
      <c r="H209" s="571" t="s">
        <v>20</v>
      </c>
      <c r="I209" s="571" t="s">
        <v>2938</v>
      </c>
      <c r="J209" s="571">
        <v>43559</v>
      </c>
      <c r="K209" s="574" t="s">
        <v>4196</v>
      </c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</row>
    <row r="210" spans="1:31" ht="15.75" customHeight="1">
      <c r="A210" s="575">
        <v>44173</v>
      </c>
      <c r="B210" s="576" t="s">
        <v>6407</v>
      </c>
      <c r="C210" s="405" t="s">
        <v>2929</v>
      </c>
      <c r="D210" s="561" t="s">
        <v>6343</v>
      </c>
      <c r="E210" s="573">
        <v>100000</v>
      </c>
      <c r="F210" s="561" t="s">
        <v>3382</v>
      </c>
      <c r="G210" s="571" t="s">
        <v>2931</v>
      </c>
      <c r="H210" s="571" t="s">
        <v>20</v>
      </c>
      <c r="I210" s="571" t="s">
        <v>2932</v>
      </c>
      <c r="J210" s="571">
        <v>43922</v>
      </c>
      <c r="K210" s="574" t="s">
        <v>3813</v>
      </c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</row>
    <row r="211" spans="1:31" ht="15.75" customHeight="1">
      <c r="A211" s="575">
        <v>44173</v>
      </c>
      <c r="B211" s="576" t="s">
        <v>6407</v>
      </c>
      <c r="C211" s="405" t="s">
        <v>2929</v>
      </c>
      <c r="D211" s="561" t="s">
        <v>6343</v>
      </c>
      <c r="E211" s="573">
        <v>32772.800000000003</v>
      </c>
      <c r="F211" s="561" t="s">
        <v>3382</v>
      </c>
      <c r="G211" s="571" t="s">
        <v>2931</v>
      </c>
      <c r="H211" s="571" t="s">
        <v>20</v>
      </c>
      <c r="I211" s="571" t="s">
        <v>2932</v>
      </c>
      <c r="J211" s="571">
        <v>43922</v>
      </c>
      <c r="K211" s="574" t="s">
        <v>3813</v>
      </c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</row>
    <row r="212" spans="1:31" ht="15.75" customHeight="1">
      <c r="A212" s="575">
        <v>44173</v>
      </c>
      <c r="B212" s="576" t="s">
        <v>6407</v>
      </c>
      <c r="C212" s="405" t="s">
        <v>2929</v>
      </c>
      <c r="D212" s="561" t="s">
        <v>6343</v>
      </c>
      <c r="E212" s="573">
        <v>13100.45</v>
      </c>
      <c r="F212" s="561" t="s">
        <v>3382</v>
      </c>
      <c r="G212" s="571" t="s">
        <v>2931</v>
      </c>
      <c r="H212" s="571" t="s">
        <v>20</v>
      </c>
      <c r="I212" s="571" t="s">
        <v>2932</v>
      </c>
      <c r="J212" s="571">
        <v>43922</v>
      </c>
      <c r="K212" s="574" t="s">
        <v>3813</v>
      </c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</row>
    <row r="213" spans="1:31" ht="15.75" customHeight="1">
      <c r="A213" s="575">
        <v>44173</v>
      </c>
      <c r="B213" s="576" t="s">
        <v>6407</v>
      </c>
      <c r="C213" s="405" t="s">
        <v>2929</v>
      </c>
      <c r="D213" s="561" t="s">
        <v>6343</v>
      </c>
      <c r="E213" s="573">
        <v>40379.75</v>
      </c>
      <c r="F213" s="561" t="s">
        <v>3382</v>
      </c>
      <c r="G213" s="571" t="s">
        <v>2931</v>
      </c>
      <c r="H213" s="571" t="s">
        <v>20</v>
      </c>
      <c r="I213" s="571" t="s">
        <v>2932</v>
      </c>
      <c r="J213" s="571">
        <v>43922</v>
      </c>
      <c r="K213" s="574" t="s">
        <v>3813</v>
      </c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</row>
    <row r="214" spans="1:31" ht="15.75" customHeight="1">
      <c r="A214" s="575">
        <v>44174</v>
      </c>
      <c r="B214" s="576" t="s">
        <v>6349</v>
      </c>
      <c r="C214" s="405" t="s">
        <v>2929</v>
      </c>
      <c r="D214" s="561" t="s">
        <v>6343</v>
      </c>
      <c r="E214" s="573">
        <v>8747</v>
      </c>
      <c r="F214" s="561" t="s">
        <v>3198</v>
      </c>
      <c r="G214" s="571" t="s">
        <v>2931</v>
      </c>
      <c r="H214" s="571" t="s">
        <v>20</v>
      </c>
      <c r="I214" s="571" t="s">
        <v>2932</v>
      </c>
      <c r="J214" s="571">
        <v>43703</v>
      </c>
      <c r="K214" s="574" t="s">
        <v>4196</v>
      </c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</row>
    <row r="215" spans="1:31" ht="15.75" customHeight="1">
      <c r="A215" s="575">
        <v>44174</v>
      </c>
      <c r="B215" s="576" t="s">
        <v>6349</v>
      </c>
      <c r="C215" s="405" t="s">
        <v>2929</v>
      </c>
      <c r="D215" s="561" t="s">
        <v>6343</v>
      </c>
      <c r="E215" s="573">
        <v>10000</v>
      </c>
      <c r="F215" s="561" t="s">
        <v>3198</v>
      </c>
      <c r="G215" s="571" t="s">
        <v>2931</v>
      </c>
      <c r="H215" s="571" t="s">
        <v>20</v>
      </c>
      <c r="I215" s="571" t="s">
        <v>2932</v>
      </c>
      <c r="J215" s="571">
        <v>43703</v>
      </c>
      <c r="K215" s="574" t="s">
        <v>4196</v>
      </c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</row>
    <row r="216" spans="1:31" ht="15.75" customHeight="1">
      <c r="A216" s="575">
        <v>44174</v>
      </c>
      <c r="B216" s="576" t="s">
        <v>6408</v>
      </c>
      <c r="C216" s="405" t="s">
        <v>2929</v>
      </c>
      <c r="D216" s="561" t="s">
        <v>6343</v>
      </c>
      <c r="E216" s="573">
        <v>20000</v>
      </c>
      <c r="F216" s="561" t="s">
        <v>3175</v>
      </c>
      <c r="G216" s="571" t="s">
        <v>2931</v>
      </c>
      <c r="H216" s="571" t="s">
        <v>20</v>
      </c>
      <c r="I216" s="571" t="s">
        <v>2938</v>
      </c>
      <c r="J216" s="571">
        <v>43531</v>
      </c>
      <c r="K216" s="574" t="s">
        <v>3817</v>
      </c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</row>
    <row r="217" spans="1:31" ht="15.75" customHeight="1">
      <c r="A217" s="575">
        <v>44174</v>
      </c>
      <c r="B217" s="576" t="s">
        <v>6408</v>
      </c>
      <c r="C217" s="405" t="s">
        <v>2929</v>
      </c>
      <c r="D217" s="561" t="s">
        <v>6343</v>
      </c>
      <c r="E217" s="573">
        <v>20000</v>
      </c>
      <c r="F217" s="561" t="s">
        <v>3175</v>
      </c>
      <c r="G217" s="571" t="s">
        <v>2931</v>
      </c>
      <c r="H217" s="571" t="s">
        <v>20</v>
      </c>
      <c r="I217" s="571" t="s">
        <v>2938</v>
      </c>
      <c r="J217" s="571">
        <v>43531</v>
      </c>
      <c r="K217" s="574" t="s">
        <v>3817</v>
      </c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</row>
    <row r="218" spans="1:31" ht="15.75" customHeight="1">
      <c r="A218" s="575">
        <v>44175</v>
      </c>
      <c r="B218" s="576" t="s">
        <v>3702</v>
      </c>
      <c r="C218" s="405" t="s">
        <v>3613</v>
      </c>
      <c r="D218" s="561" t="s">
        <v>6343</v>
      </c>
      <c r="E218" s="573">
        <v>28000</v>
      </c>
      <c r="F218" s="561" t="s">
        <v>3701</v>
      </c>
      <c r="G218" s="571" t="s">
        <v>19</v>
      </c>
      <c r="H218" s="571" t="s">
        <v>20</v>
      </c>
      <c r="I218" s="571" t="s">
        <v>2518</v>
      </c>
      <c r="J218" s="571">
        <v>43797</v>
      </c>
      <c r="K218" s="574" t="s">
        <v>3813</v>
      </c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</row>
    <row r="219" spans="1:31" ht="15.75" customHeight="1">
      <c r="A219" s="575">
        <v>44175</v>
      </c>
      <c r="B219" s="576" t="s">
        <v>3702</v>
      </c>
      <c r="C219" s="405" t="s">
        <v>3613</v>
      </c>
      <c r="D219" s="561" t="s">
        <v>6343</v>
      </c>
      <c r="E219" s="573">
        <v>25000</v>
      </c>
      <c r="F219" s="561" t="s">
        <v>3701</v>
      </c>
      <c r="G219" s="571" t="s">
        <v>19</v>
      </c>
      <c r="H219" s="571" t="s">
        <v>20</v>
      </c>
      <c r="I219" s="571" t="s">
        <v>2518</v>
      </c>
      <c r="J219" s="571">
        <v>43797</v>
      </c>
      <c r="K219" s="574" t="s">
        <v>3813</v>
      </c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</row>
    <row r="220" spans="1:31" ht="15.75" customHeight="1">
      <c r="A220" s="575">
        <v>44175</v>
      </c>
      <c r="B220" s="576" t="s">
        <v>3702</v>
      </c>
      <c r="C220" s="405" t="s">
        <v>3613</v>
      </c>
      <c r="D220" s="561" t="s">
        <v>6343</v>
      </c>
      <c r="E220" s="573">
        <v>43000</v>
      </c>
      <c r="F220" s="561" t="s">
        <v>3701</v>
      </c>
      <c r="G220" s="571" t="s">
        <v>19</v>
      </c>
      <c r="H220" s="571" t="s">
        <v>20</v>
      </c>
      <c r="I220" s="571" t="s">
        <v>2518</v>
      </c>
      <c r="J220" s="571">
        <v>43797</v>
      </c>
      <c r="K220" s="574" t="s">
        <v>3813</v>
      </c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</row>
    <row r="221" spans="1:31" ht="15.75" customHeight="1">
      <c r="A221" s="575">
        <v>44175</v>
      </c>
      <c r="B221" s="576" t="s">
        <v>3702</v>
      </c>
      <c r="C221" s="405" t="s">
        <v>3613</v>
      </c>
      <c r="D221" s="561" t="s">
        <v>6343</v>
      </c>
      <c r="E221" s="573">
        <v>200000</v>
      </c>
      <c r="F221" s="561" t="s">
        <v>3701</v>
      </c>
      <c r="G221" s="571" t="s">
        <v>19</v>
      </c>
      <c r="H221" s="571" t="s">
        <v>20</v>
      </c>
      <c r="I221" s="571" t="s">
        <v>2518</v>
      </c>
      <c r="J221" s="571">
        <v>43797</v>
      </c>
      <c r="K221" s="574" t="s">
        <v>3813</v>
      </c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</row>
    <row r="222" spans="1:31" ht="15.75" customHeight="1">
      <c r="A222" s="575">
        <v>44179</v>
      </c>
      <c r="B222" s="581" t="s">
        <v>6357</v>
      </c>
      <c r="C222" s="405" t="s">
        <v>2929</v>
      </c>
      <c r="D222" s="561" t="s">
        <v>6343</v>
      </c>
      <c r="E222" s="573">
        <v>25000</v>
      </c>
      <c r="F222" s="561" t="s">
        <v>3243</v>
      </c>
      <c r="G222" s="571" t="s">
        <v>2931</v>
      </c>
      <c r="H222" s="571" t="s">
        <v>20</v>
      </c>
      <c r="I222" s="571" t="s">
        <v>2938</v>
      </c>
      <c r="J222" s="571">
        <v>43559</v>
      </c>
      <c r="K222" s="574" t="s">
        <v>4196</v>
      </c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</row>
    <row r="223" spans="1:31" ht="15.75" customHeight="1">
      <c r="A223" s="575">
        <v>44179</v>
      </c>
      <c r="B223" s="576" t="s">
        <v>6370</v>
      </c>
      <c r="C223" s="405" t="s">
        <v>2929</v>
      </c>
      <c r="D223" s="561" t="s">
        <v>6343</v>
      </c>
      <c r="E223" s="573">
        <v>14000</v>
      </c>
      <c r="F223" s="561" t="s">
        <v>3356</v>
      </c>
      <c r="G223" s="571" t="s">
        <v>2931</v>
      </c>
      <c r="H223" s="571" t="s">
        <v>20</v>
      </c>
      <c r="I223" s="571" t="s">
        <v>2932</v>
      </c>
      <c r="J223" s="571">
        <v>43564</v>
      </c>
      <c r="K223" s="574" t="s">
        <v>3817</v>
      </c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</row>
    <row r="224" spans="1:31" ht="15.75" customHeight="1">
      <c r="A224" s="575">
        <v>44180</v>
      </c>
      <c r="B224" s="576" t="s">
        <v>6345</v>
      </c>
      <c r="C224" s="405" t="s">
        <v>3793</v>
      </c>
      <c r="D224" s="561" t="s">
        <v>6343</v>
      </c>
      <c r="E224" s="573">
        <v>153000</v>
      </c>
      <c r="F224" s="561" t="s">
        <v>5056</v>
      </c>
      <c r="G224" s="561" t="s">
        <v>2931</v>
      </c>
      <c r="H224" s="561" t="s">
        <v>20</v>
      </c>
      <c r="I224" s="561" t="s">
        <v>2931</v>
      </c>
      <c r="J224" s="571">
        <v>43749</v>
      </c>
      <c r="K224" s="577" t="s">
        <v>4196</v>
      </c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</row>
    <row r="225" spans="1:31" ht="15.75" customHeight="1">
      <c r="A225" s="571">
        <v>44181</v>
      </c>
      <c r="B225" s="582" t="s">
        <v>6409</v>
      </c>
      <c r="C225" s="561" t="s">
        <v>2929</v>
      </c>
      <c r="D225" s="561" t="s">
        <v>956</v>
      </c>
      <c r="E225" s="573">
        <v>268845.87</v>
      </c>
      <c r="F225" s="561" t="s">
        <v>2996</v>
      </c>
      <c r="G225" s="571" t="s">
        <v>2997</v>
      </c>
      <c r="H225" s="571" t="s">
        <v>20</v>
      </c>
      <c r="I225" s="571" t="s">
        <v>2997</v>
      </c>
      <c r="J225" s="571">
        <v>43563</v>
      </c>
      <c r="K225" s="574" t="s">
        <v>3817</v>
      </c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</row>
    <row r="226" spans="1:31" ht="15.75" customHeight="1">
      <c r="A226" s="575">
        <v>44182</v>
      </c>
      <c r="B226" s="576" t="s">
        <v>6395</v>
      </c>
      <c r="C226" s="405" t="s">
        <v>2929</v>
      </c>
      <c r="D226" s="561" t="s">
        <v>6343</v>
      </c>
      <c r="E226" s="573">
        <v>7000</v>
      </c>
      <c r="F226" s="561" t="s">
        <v>3273</v>
      </c>
      <c r="G226" s="571" t="s">
        <v>2931</v>
      </c>
      <c r="H226" s="571" t="s">
        <v>20</v>
      </c>
      <c r="I226" s="571" t="s">
        <v>2932</v>
      </c>
      <c r="J226" s="571">
        <v>43711</v>
      </c>
      <c r="K226" s="574" t="s">
        <v>4196</v>
      </c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</row>
    <row r="227" spans="1:31" ht="15.75" customHeight="1">
      <c r="A227" s="575">
        <v>44186</v>
      </c>
      <c r="B227" s="581" t="s">
        <v>6351</v>
      </c>
      <c r="C227" s="405" t="s">
        <v>2929</v>
      </c>
      <c r="D227" s="561" t="s">
        <v>6343</v>
      </c>
      <c r="E227" s="573">
        <v>25000</v>
      </c>
      <c r="F227" s="561" t="s">
        <v>3235</v>
      </c>
      <c r="G227" s="571" t="s">
        <v>2931</v>
      </c>
      <c r="H227" s="571" t="s">
        <v>20</v>
      </c>
      <c r="I227" s="571" t="s">
        <v>2932</v>
      </c>
      <c r="J227" s="571">
        <v>43605</v>
      </c>
      <c r="K227" s="574" t="s">
        <v>3813</v>
      </c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</row>
    <row r="228" spans="1:31" ht="15.75" customHeight="1">
      <c r="A228" s="575">
        <v>44186</v>
      </c>
      <c r="B228" s="576" t="s">
        <v>6392</v>
      </c>
      <c r="C228" s="405" t="s">
        <v>3793</v>
      </c>
      <c r="D228" s="561" t="s">
        <v>6343</v>
      </c>
      <c r="E228" s="573">
        <v>19000</v>
      </c>
      <c r="F228" s="561" t="s">
        <v>4867</v>
      </c>
      <c r="G228" s="561" t="s">
        <v>2931</v>
      </c>
      <c r="H228" s="561" t="s">
        <v>20</v>
      </c>
      <c r="I228" s="561" t="s">
        <v>2931</v>
      </c>
      <c r="J228" s="571">
        <v>44068</v>
      </c>
      <c r="K228" s="577" t="s">
        <v>3803</v>
      </c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</row>
    <row r="229" spans="1:31" ht="15.75" customHeight="1">
      <c r="A229" s="575">
        <v>44187</v>
      </c>
      <c r="B229" s="576" t="s">
        <v>6349</v>
      </c>
      <c r="C229" s="405" t="s">
        <v>2929</v>
      </c>
      <c r="D229" s="561" t="s">
        <v>6343</v>
      </c>
      <c r="E229" s="573">
        <v>6500</v>
      </c>
      <c r="F229" s="561" t="s">
        <v>3198</v>
      </c>
      <c r="G229" s="571" t="s">
        <v>2931</v>
      </c>
      <c r="H229" s="571" t="s">
        <v>20</v>
      </c>
      <c r="I229" s="571" t="s">
        <v>2932</v>
      </c>
      <c r="J229" s="571">
        <v>43703</v>
      </c>
      <c r="K229" s="574" t="s">
        <v>4196</v>
      </c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</row>
    <row r="230" spans="1:31" ht="15.75" customHeight="1">
      <c r="A230" s="575">
        <v>44193</v>
      </c>
      <c r="B230" s="576" t="s">
        <v>6370</v>
      </c>
      <c r="C230" s="405" t="s">
        <v>2929</v>
      </c>
      <c r="D230" s="561" t="s">
        <v>6343</v>
      </c>
      <c r="E230" s="573">
        <v>2000</v>
      </c>
      <c r="F230" s="561" t="s">
        <v>3356</v>
      </c>
      <c r="G230" s="571" t="s">
        <v>2931</v>
      </c>
      <c r="H230" s="571" t="s">
        <v>20</v>
      </c>
      <c r="I230" s="571" t="s">
        <v>2932</v>
      </c>
      <c r="J230" s="571">
        <v>43564</v>
      </c>
      <c r="K230" s="574" t="s">
        <v>3817</v>
      </c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</row>
    <row r="231" spans="1:31" ht="15.75" customHeight="1">
      <c r="A231" s="575">
        <v>44193</v>
      </c>
      <c r="B231" s="576" t="s">
        <v>6351</v>
      </c>
      <c r="C231" s="405" t="s">
        <v>2929</v>
      </c>
      <c r="D231" s="561" t="s">
        <v>6343</v>
      </c>
      <c r="E231" s="573">
        <v>40000</v>
      </c>
      <c r="F231" s="561" t="s">
        <v>3235</v>
      </c>
      <c r="G231" s="571" t="s">
        <v>2931</v>
      </c>
      <c r="H231" s="571" t="s">
        <v>20</v>
      </c>
      <c r="I231" s="571" t="s">
        <v>2932</v>
      </c>
      <c r="J231" s="571">
        <v>43605</v>
      </c>
      <c r="K231" s="574" t="s">
        <v>3813</v>
      </c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</row>
    <row r="232" spans="1:31" ht="15.75" customHeight="1">
      <c r="A232" s="575">
        <v>44194</v>
      </c>
      <c r="B232" s="576" t="s">
        <v>6367</v>
      </c>
      <c r="C232" s="405" t="s">
        <v>2929</v>
      </c>
      <c r="D232" s="561" t="s">
        <v>6343</v>
      </c>
      <c r="E232" s="573">
        <v>271260.25</v>
      </c>
      <c r="F232" s="561" t="s">
        <v>2994</v>
      </c>
      <c r="G232" s="571" t="s">
        <v>2931</v>
      </c>
      <c r="H232" s="571" t="s">
        <v>20</v>
      </c>
      <c r="I232" s="571" t="s">
        <v>2932</v>
      </c>
      <c r="J232" s="571">
        <v>43867</v>
      </c>
      <c r="K232" s="574" t="s">
        <v>3803</v>
      </c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</row>
    <row r="233" spans="1:31" ht="15.75" customHeight="1">
      <c r="A233" s="575">
        <v>44199</v>
      </c>
      <c r="B233" s="583" t="s">
        <v>6410</v>
      </c>
      <c r="C233" s="405" t="s">
        <v>2929</v>
      </c>
      <c r="D233" s="561" t="s">
        <v>6343</v>
      </c>
      <c r="E233" s="584">
        <v>40000</v>
      </c>
      <c r="F233" s="561" t="s">
        <v>850</v>
      </c>
      <c r="G233" s="571" t="s">
        <v>19</v>
      </c>
      <c r="H233" s="571" t="s">
        <v>35</v>
      </c>
      <c r="I233" s="571" t="s">
        <v>199</v>
      </c>
      <c r="J233" s="571">
        <v>44321</v>
      </c>
      <c r="K233" s="574" t="s">
        <v>3803</v>
      </c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</row>
    <row r="234" spans="1:31" ht="15.75" customHeight="1">
      <c r="A234" s="575">
        <v>44199</v>
      </c>
      <c r="B234" s="583" t="s">
        <v>6411</v>
      </c>
      <c r="C234" s="405" t="s">
        <v>2929</v>
      </c>
      <c r="D234" s="561" t="s">
        <v>6343</v>
      </c>
      <c r="E234" s="584">
        <v>10000</v>
      </c>
      <c r="F234" s="561" t="s">
        <v>3264</v>
      </c>
      <c r="G234" s="571" t="s">
        <v>19</v>
      </c>
      <c r="H234" s="571" t="s">
        <v>35</v>
      </c>
      <c r="I234" s="571" t="s">
        <v>199</v>
      </c>
      <c r="J234" s="571">
        <v>44295</v>
      </c>
      <c r="K234" s="574" t="s">
        <v>3810</v>
      </c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</row>
    <row r="235" spans="1:31" ht="15.75" customHeight="1">
      <c r="A235" s="575">
        <v>44199</v>
      </c>
      <c r="B235" s="583" t="s">
        <v>6412</v>
      </c>
      <c r="C235" s="405" t="s">
        <v>2929</v>
      </c>
      <c r="D235" s="561" t="s">
        <v>921</v>
      </c>
      <c r="E235" s="585">
        <v>459854.95</v>
      </c>
      <c r="F235" s="561" t="s">
        <v>3172</v>
      </c>
      <c r="G235" s="571" t="s">
        <v>19</v>
      </c>
      <c r="H235" s="571" t="s">
        <v>35</v>
      </c>
      <c r="I235" s="571" t="s">
        <v>199</v>
      </c>
      <c r="J235" s="571">
        <v>44272</v>
      </c>
      <c r="K235" s="574" t="s">
        <v>6413</v>
      </c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</row>
    <row r="236" spans="1:31" ht="15.75" customHeight="1">
      <c r="A236" s="575">
        <v>44199</v>
      </c>
      <c r="B236" s="586" t="s">
        <v>6414</v>
      </c>
      <c r="C236" s="405" t="s">
        <v>3793</v>
      </c>
      <c r="D236" s="561" t="s">
        <v>6343</v>
      </c>
      <c r="E236" s="584">
        <v>10000</v>
      </c>
      <c r="F236" s="561" t="s">
        <v>4381</v>
      </c>
      <c r="G236" s="561" t="s">
        <v>46</v>
      </c>
      <c r="H236" s="561" t="s">
        <v>20</v>
      </c>
      <c r="I236" s="561" t="s">
        <v>3870</v>
      </c>
      <c r="J236" s="571">
        <v>44263</v>
      </c>
      <c r="K236" s="577" t="s">
        <v>3803</v>
      </c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</row>
    <row r="237" spans="1:31" ht="15.75" customHeight="1">
      <c r="A237" s="575">
        <v>44200</v>
      </c>
      <c r="B237" s="583" t="s">
        <v>6415</v>
      </c>
      <c r="C237" s="405" t="s">
        <v>2929</v>
      </c>
      <c r="D237" s="561" t="s">
        <v>6343</v>
      </c>
      <c r="E237" s="584">
        <v>200000</v>
      </c>
      <c r="F237" s="561" t="s">
        <v>3293</v>
      </c>
      <c r="G237" s="571" t="s">
        <v>19</v>
      </c>
      <c r="H237" s="571" t="s">
        <v>35</v>
      </c>
      <c r="I237" s="571" t="s">
        <v>199</v>
      </c>
      <c r="J237" s="571">
        <v>44319</v>
      </c>
      <c r="K237" s="574" t="s">
        <v>3803</v>
      </c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</row>
    <row r="238" spans="1:31" ht="15.75" customHeight="1">
      <c r="A238" s="575">
        <v>44200</v>
      </c>
      <c r="B238" s="576" t="s">
        <v>6357</v>
      </c>
      <c r="C238" s="405" t="s">
        <v>2929</v>
      </c>
      <c r="D238" s="561" t="s">
        <v>6343</v>
      </c>
      <c r="E238" s="573">
        <v>1500</v>
      </c>
      <c r="F238" s="561" t="s">
        <v>3243</v>
      </c>
      <c r="G238" s="571" t="s">
        <v>2931</v>
      </c>
      <c r="H238" s="571" t="s">
        <v>20</v>
      </c>
      <c r="I238" s="571" t="s">
        <v>2938</v>
      </c>
      <c r="J238" s="571">
        <v>43559</v>
      </c>
      <c r="K238" s="574" t="s">
        <v>4196</v>
      </c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</row>
    <row r="239" spans="1:31" ht="15.75" customHeight="1">
      <c r="A239" s="575">
        <v>44200</v>
      </c>
      <c r="B239" s="576" t="s">
        <v>6342</v>
      </c>
      <c r="C239" s="405" t="s">
        <v>2929</v>
      </c>
      <c r="D239" s="561" t="s">
        <v>6343</v>
      </c>
      <c r="E239" s="573">
        <v>10000</v>
      </c>
      <c r="F239" s="561" t="s">
        <v>3475</v>
      </c>
      <c r="G239" s="571" t="s">
        <v>2931</v>
      </c>
      <c r="H239" s="571" t="s">
        <v>20</v>
      </c>
      <c r="I239" s="571" t="s">
        <v>2932</v>
      </c>
      <c r="J239" s="571">
        <v>43675</v>
      </c>
      <c r="K239" s="574" t="s">
        <v>4196</v>
      </c>
      <c r="L239" s="587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</row>
    <row r="240" spans="1:31" ht="15.75" customHeight="1">
      <c r="A240" s="575">
        <v>44200</v>
      </c>
      <c r="B240" s="576" t="s">
        <v>6351</v>
      </c>
      <c r="C240" s="405" t="s">
        <v>2929</v>
      </c>
      <c r="D240" s="561" t="s">
        <v>6343</v>
      </c>
      <c r="E240" s="573">
        <v>15000</v>
      </c>
      <c r="F240" s="561" t="s">
        <v>3235</v>
      </c>
      <c r="G240" s="571" t="s">
        <v>2931</v>
      </c>
      <c r="H240" s="571" t="s">
        <v>20</v>
      </c>
      <c r="I240" s="571" t="s">
        <v>2932</v>
      </c>
      <c r="J240" s="571">
        <v>43605</v>
      </c>
      <c r="K240" s="574" t="s">
        <v>3813</v>
      </c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</row>
    <row r="241" spans="1:47" ht="15.75" customHeight="1">
      <c r="A241" s="575">
        <v>44201</v>
      </c>
      <c r="B241" s="576" t="s">
        <v>6349</v>
      </c>
      <c r="C241" s="405" t="s">
        <v>2929</v>
      </c>
      <c r="D241" s="561" t="s">
        <v>6343</v>
      </c>
      <c r="E241" s="579">
        <v>100638.85</v>
      </c>
      <c r="F241" s="561" t="s">
        <v>3198</v>
      </c>
      <c r="G241" s="571" t="s">
        <v>2931</v>
      </c>
      <c r="H241" s="571" t="s">
        <v>20</v>
      </c>
      <c r="I241" s="571" t="s">
        <v>2932</v>
      </c>
      <c r="J241" s="571">
        <v>43703</v>
      </c>
      <c r="K241" s="574" t="s">
        <v>4196</v>
      </c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</row>
    <row r="242" spans="1:47" ht="15.75" customHeight="1">
      <c r="A242" s="575">
        <v>44201</v>
      </c>
      <c r="B242" s="576" t="s">
        <v>6399</v>
      </c>
      <c r="C242" s="405" t="s">
        <v>3793</v>
      </c>
      <c r="D242" s="561" t="s">
        <v>6343</v>
      </c>
      <c r="E242" s="573">
        <v>5000</v>
      </c>
      <c r="F242" s="561" t="s">
        <v>4484</v>
      </c>
      <c r="G242" s="561" t="s">
        <v>2931</v>
      </c>
      <c r="H242" s="561" t="s">
        <v>20</v>
      </c>
      <c r="I242" s="561" t="s">
        <v>2931</v>
      </c>
      <c r="J242" s="571">
        <v>43901</v>
      </c>
      <c r="K242" s="577" t="s">
        <v>3797</v>
      </c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</row>
    <row r="243" spans="1:47" ht="15.75" customHeight="1">
      <c r="A243" s="575">
        <v>44201</v>
      </c>
      <c r="B243" s="576" t="s">
        <v>6416</v>
      </c>
      <c r="C243" s="405" t="s">
        <v>3793</v>
      </c>
      <c r="D243" s="561" t="s">
        <v>6343</v>
      </c>
      <c r="E243" s="573">
        <v>13400</v>
      </c>
      <c r="F243" s="561" t="s">
        <v>3998</v>
      </c>
      <c r="G243" s="561" t="s">
        <v>2931</v>
      </c>
      <c r="H243" s="561" t="s">
        <v>20</v>
      </c>
      <c r="I243" s="561" t="s">
        <v>2931</v>
      </c>
      <c r="J243" s="571">
        <v>43847</v>
      </c>
      <c r="K243" s="577" t="s">
        <v>3803</v>
      </c>
      <c r="L243" s="588"/>
      <c r="M243" s="587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</row>
    <row r="244" spans="1:47" ht="15.75" customHeight="1">
      <c r="A244" s="575">
        <v>44202</v>
      </c>
      <c r="B244" s="581" t="s">
        <v>6417</v>
      </c>
      <c r="C244" s="405" t="s">
        <v>2929</v>
      </c>
      <c r="D244" s="561" t="s">
        <v>921</v>
      </c>
      <c r="E244" s="573">
        <v>5000</v>
      </c>
      <c r="F244" s="561" t="s">
        <v>3386</v>
      </c>
      <c r="G244" s="571" t="s">
        <v>2931</v>
      </c>
      <c r="H244" s="571" t="s">
        <v>20</v>
      </c>
      <c r="I244" s="571" t="s">
        <v>2938</v>
      </c>
      <c r="J244" s="571">
        <v>43795</v>
      </c>
      <c r="K244" s="574" t="s">
        <v>3813</v>
      </c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</row>
    <row r="245" spans="1:47" ht="15.75" customHeight="1">
      <c r="A245" s="575">
        <v>44207</v>
      </c>
      <c r="B245" s="576" t="s">
        <v>6365</v>
      </c>
      <c r="C245" s="405" t="s">
        <v>2929</v>
      </c>
      <c r="D245" s="561" t="s">
        <v>6343</v>
      </c>
      <c r="E245" s="573">
        <v>14000</v>
      </c>
      <c r="F245" s="561" t="s">
        <v>3452</v>
      </c>
      <c r="G245" s="571" t="s">
        <v>2931</v>
      </c>
      <c r="H245" s="571" t="s">
        <v>20</v>
      </c>
      <c r="I245" s="571" t="s">
        <v>2932</v>
      </c>
      <c r="J245" s="571">
        <v>43894</v>
      </c>
      <c r="K245" s="574" t="s">
        <v>3813</v>
      </c>
      <c r="L245" s="587"/>
      <c r="M245" s="588"/>
      <c r="N245" s="587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</row>
    <row r="246" spans="1:47" ht="15.75" customHeight="1">
      <c r="A246" s="575">
        <v>44208</v>
      </c>
      <c r="B246" s="581" t="s">
        <v>6349</v>
      </c>
      <c r="C246" s="405" t="s">
        <v>2929</v>
      </c>
      <c r="D246" s="561" t="s">
        <v>6343</v>
      </c>
      <c r="E246" s="573">
        <v>10000</v>
      </c>
      <c r="F246" s="561" t="s">
        <v>3198</v>
      </c>
      <c r="G246" s="571" t="s">
        <v>2931</v>
      </c>
      <c r="H246" s="571" t="s">
        <v>20</v>
      </c>
      <c r="I246" s="571" t="s">
        <v>2932</v>
      </c>
      <c r="J246" s="571">
        <v>43703</v>
      </c>
      <c r="K246" s="574" t="s">
        <v>4196</v>
      </c>
      <c r="L246" s="589"/>
      <c r="M246" s="587"/>
      <c r="N246" s="588"/>
      <c r="O246" s="587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</row>
    <row r="247" spans="1:47" ht="15.75" customHeight="1">
      <c r="A247" s="575">
        <v>44209</v>
      </c>
      <c r="B247" s="576" t="s">
        <v>6370</v>
      </c>
      <c r="C247" s="405" t="s">
        <v>2929</v>
      </c>
      <c r="D247" s="561" t="s">
        <v>6343</v>
      </c>
      <c r="E247" s="573">
        <v>24000</v>
      </c>
      <c r="F247" s="561" t="s">
        <v>3356</v>
      </c>
      <c r="G247" s="571" t="s">
        <v>2931</v>
      </c>
      <c r="H247" s="571" t="s">
        <v>20</v>
      </c>
      <c r="I247" s="571" t="s">
        <v>2932</v>
      </c>
      <c r="J247" s="571">
        <v>43564</v>
      </c>
      <c r="K247" s="574" t="s">
        <v>3817</v>
      </c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</row>
    <row r="248" spans="1:47" ht="15.75" customHeight="1">
      <c r="A248" s="575">
        <v>44211</v>
      </c>
      <c r="B248" s="576" t="s">
        <v>6418</v>
      </c>
      <c r="C248" s="405" t="s">
        <v>2929</v>
      </c>
      <c r="D248" s="561" t="s">
        <v>921</v>
      </c>
      <c r="E248" s="585">
        <v>100832.44</v>
      </c>
      <c r="F248" s="561" t="s">
        <v>3020</v>
      </c>
      <c r="G248" s="571" t="s">
        <v>2931</v>
      </c>
      <c r="H248" s="571" t="s">
        <v>20</v>
      </c>
      <c r="I248" s="571" t="s">
        <v>2932</v>
      </c>
      <c r="J248" s="571">
        <v>43725</v>
      </c>
      <c r="K248" s="574" t="s">
        <v>4196</v>
      </c>
      <c r="L248" s="587"/>
      <c r="M248" s="589"/>
      <c r="N248" s="587"/>
      <c r="O248" s="588"/>
      <c r="P248" s="587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</row>
    <row r="249" spans="1:47" ht="15.75" customHeight="1">
      <c r="A249" s="575">
        <v>44215</v>
      </c>
      <c r="B249" s="581" t="s">
        <v>6351</v>
      </c>
      <c r="C249" s="405" t="s">
        <v>2929</v>
      </c>
      <c r="D249" s="561" t="s">
        <v>6343</v>
      </c>
      <c r="E249" s="573">
        <v>50000</v>
      </c>
      <c r="F249" s="561" t="s">
        <v>3235</v>
      </c>
      <c r="G249" s="571" t="s">
        <v>2931</v>
      </c>
      <c r="H249" s="571" t="s">
        <v>20</v>
      </c>
      <c r="I249" s="571" t="s">
        <v>2932</v>
      </c>
      <c r="J249" s="571">
        <v>43605</v>
      </c>
      <c r="K249" s="574" t="s">
        <v>3813</v>
      </c>
      <c r="L249" s="587"/>
      <c r="M249" s="587"/>
      <c r="N249" s="589"/>
      <c r="O249" s="587"/>
      <c r="P249" s="588"/>
      <c r="Q249" s="587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</row>
    <row r="250" spans="1:47" ht="15.75" customHeight="1">
      <c r="A250" s="575">
        <v>44217</v>
      </c>
      <c r="B250" s="576" t="s">
        <v>6419</v>
      </c>
      <c r="C250" s="405" t="s">
        <v>2929</v>
      </c>
      <c r="D250" s="561" t="s">
        <v>6343</v>
      </c>
      <c r="E250" s="573">
        <v>30000</v>
      </c>
      <c r="F250" s="561" t="s">
        <v>3540</v>
      </c>
      <c r="G250" s="571" t="s">
        <v>2931</v>
      </c>
      <c r="H250" s="571" t="s">
        <v>20</v>
      </c>
      <c r="I250" s="571" t="s">
        <v>2938</v>
      </c>
      <c r="J250" s="571">
        <v>43822</v>
      </c>
      <c r="K250" s="574" t="s">
        <v>3813</v>
      </c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</row>
    <row r="251" spans="1:47" ht="15.75" customHeight="1">
      <c r="A251" s="575">
        <v>44218</v>
      </c>
      <c r="B251" s="576" t="s">
        <v>6370</v>
      </c>
      <c r="C251" s="405" t="s">
        <v>2929</v>
      </c>
      <c r="D251" s="561" t="s">
        <v>6343</v>
      </c>
      <c r="E251" s="573">
        <v>13000</v>
      </c>
      <c r="F251" s="561" t="s">
        <v>3356</v>
      </c>
      <c r="G251" s="571" t="s">
        <v>2931</v>
      </c>
      <c r="H251" s="571" t="s">
        <v>20</v>
      </c>
      <c r="I251" s="571" t="s">
        <v>2932</v>
      </c>
      <c r="J251" s="571">
        <v>43564</v>
      </c>
      <c r="K251" s="574" t="s">
        <v>3817</v>
      </c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</row>
    <row r="252" spans="1:47" ht="15.75" customHeight="1">
      <c r="A252" s="575">
        <v>44221</v>
      </c>
      <c r="B252" s="576" t="s">
        <v>6351</v>
      </c>
      <c r="C252" s="405" t="s">
        <v>2929</v>
      </c>
      <c r="D252" s="561" t="s">
        <v>6343</v>
      </c>
      <c r="E252" s="573">
        <v>5000</v>
      </c>
      <c r="F252" s="561" t="s">
        <v>3235</v>
      </c>
      <c r="G252" s="571" t="s">
        <v>2931</v>
      </c>
      <c r="H252" s="571" t="s">
        <v>20</v>
      </c>
      <c r="I252" s="571" t="s">
        <v>2932</v>
      </c>
      <c r="J252" s="571">
        <v>43605</v>
      </c>
      <c r="K252" s="574" t="s">
        <v>3813</v>
      </c>
      <c r="L252" s="587"/>
      <c r="M252" s="587"/>
      <c r="N252" s="587"/>
      <c r="O252" s="589"/>
      <c r="P252" s="587"/>
      <c r="Q252" s="588"/>
      <c r="R252" s="587"/>
      <c r="S252" s="570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</row>
    <row r="253" spans="1:47" ht="15.75" customHeight="1">
      <c r="A253" s="575">
        <v>44223</v>
      </c>
      <c r="B253" s="576" t="s">
        <v>6349</v>
      </c>
      <c r="C253" s="405" t="s">
        <v>2929</v>
      </c>
      <c r="D253" s="561" t="s">
        <v>6343</v>
      </c>
      <c r="E253" s="573">
        <v>3000</v>
      </c>
      <c r="F253" s="561" t="s">
        <v>3198</v>
      </c>
      <c r="G253" s="571" t="s">
        <v>2931</v>
      </c>
      <c r="H253" s="571" t="s">
        <v>20</v>
      </c>
      <c r="I253" s="571" t="s">
        <v>2932</v>
      </c>
      <c r="J253" s="571">
        <v>43703</v>
      </c>
      <c r="K253" s="574" t="s">
        <v>4196</v>
      </c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</row>
    <row r="254" spans="1:47" ht="15.75" customHeight="1">
      <c r="A254" s="575">
        <v>44228</v>
      </c>
      <c r="B254" s="576" t="s">
        <v>6342</v>
      </c>
      <c r="C254" s="405" t="s">
        <v>2929</v>
      </c>
      <c r="D254" s="561" t="s">
        <v>6343</v>
      </c>
      <c r="E254" s="573">
        <v>37000</v>
      </c>
      <c r="F254" s="561" t="s">
        <v>3475</v>
      </c>
      <c r="G254" s="571" t="s">
        <v>2931</v>
      </c>
      <c r="H254" s="571" t="s">
        <v>20</v>
      </c>
      <c r="I254" s="571" t="s">
        <v>2932</v>
      </c>
      <c r="J254" s="571">
        <v>43675</v>
      </c>
      <c r="K254" s="574" t="s">
        <v>4196</v>
      </c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</row>
    <row r="255" spans="1:47" ht="15.75" customHeight="1">
      <c r="A255" s="571">
        <v>44229</v>
      </c>
      <c r="B255" s="572" t="s">
        <v>6420</v>
      </c>
      <c r="C255" s="561" t="s">
        <v>3793</v>
      </c>
      <c r="D255" s="561" t="s">
        <v>956</v>
      </c>
      <c r="E255" s="573">
        <v>0</v>
      </c>
      <c r="F255" s="561" t="s">
        <v>4497</v>
      </c>
      <c r="G255" s="561" t="s">
        <v>19</v>
      </c>
      <c r="H255" s="561" t="s">
        <v>20</v>
      </c>
      <c r="I255" s="561" t="s">
        <v>3801</v>
      </c>
      <c r="J255" s="571">
        <v>44167</v>
      </c>
      <c r="K255" s="577" t="s">
        <v>3817</v>
      </c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</row>
    <row r="256" spans="1:47" ht="15.75" customHeight="1">
      <c r="A256" s="575">
        <v>44229</v>
      </c>
      <c r="B256" s="576" t="s">
        <v>6404</v>
      </c>
      <c r="C256" s="405" t="s">
        <v>2929</v>
      </c>
      <c r="D256" s="561" t="s">
        <v>6343</v>
      </c>
      <c r="E256" s="573">
        <v>49992.45</v>
      </c>
      <c r="F256" s="561" t="s">
        <v>3369</v>
      </c>
      <c r="G256" s="571" t="s">
        <v>2931</v>
      </c>
      <c r="H256" s="571" t="s">
        <v>20</v>
      </c>
      <c r="I256" s="571" t="s">
        <v>2932</v>
      </c>
      <c r="J256" s="571">
        <v>43873</v>
      </c>
      <c r="K256" s="574" t="s">
        <v>3803</v>
      </c>
      <c r="L256" s="587"/>
      <c r="M256" s="587"/>
      <c r="N256" s="587"/>
      <c r="O256" s="589"/>
      <c r="P256" s="587"/>
      <c r="Q256" s="588"/>
      <c r="R256" s="587"/>
      <c r="S256" s="570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70"/>
      <c r="AH256" s="570"/>
      <c r="AI256" s="570"/>
      <c r="AJ256" s="570"/>
      <c r="AK256" s="570"/>
      <c r="AL256" s="570"/>
      <c r="AM256" s="570"/>
      <c r="AN256" s="570"/>
      <c r="AO256" s="570"/>
      <c r="AP256" s="570"/>
      <c r="AQ256" s="570"/>
      <c r="AR256" s="570"/>
      <c r="AS256" s="570"/>
      <c r="AT256" s="570"/>
      <c r="AU256" s="570"/>
    </row>
    <row r="257" spans="1:47" ht="15.75" customHeight="1">
      <c r="A257" s="575">
        <v>44230</v>
      </c>
      <c r="B257" s="576" t="s">
        <v>6345</v>
      </c>
      <c r="C257" s="405" t="s">
        <v>3793</v>
      </c>
      <c r="D257" s="561" t="s">
        <v>6343</v>
      </c>
      <c r="E257" s="573">
        <v>80000</v>
      </c>
      <c r="F257" s="561" t="s">
        <v>5056</v>
      </c>
      <c r="G257" s="561" t="s">
        <v>2931</v>
      </c>
      <c r="H257" s="561" t="s">
        <v>20</v>
      </c>
      <c r="I257" s="561" t="s">
        <v>2931</v>
      </c>
      <c r="J257" s="571">
        <v>43749</v>
      </c>
      <c r="K257" s="577" t="s">
        <v>4196</v>
      </c>
      <c r="L257" s="587"/>
      <c r="M257" s="587"/>
      <c r="N257" s="587"/>
      <c r="O257" s="587"/>
      <c r="P257" s="589"/>
      <c r="Q257" s="587"/>
      <c r="R257" s="588"/>
      <c r="S257" s="587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70"/>
      <c r="AH257" s="570"/>
      <c r="AI257" s="570"/>
      <c r="AJ257" s="570"/>
      <c r="AK257" s="570"/>
      <c r="AL257" s="570"/>
      <c r="AM257" s="570"/>
      <c r="AN257" s="570"/>
      <c r="AO257" s="570"/>
      <c r="AP257" s="570"/>
      <c r="AQ257" s="570"/>
      <c r="AR257" s="570"/>
      <c r="AS257" s="570"/>
      <c r="AT257" s="570"/>
      <c r="AU257" s="570"/>
    </row>
    <row r="258" spans="1:47" ht="15.75" customHeight="1">
      <c r="A258" s="575">
        <v>44230</v>
      </c>
      <c r="B258" s="576" t="s">
        <v>6396</v>
      </c>
      <c r="C258" s="405" t="s">
        <v>3793</v>
      </c>
      <c r="D258" s="561" t="s">
        <v>6343</v>
      </c>
      <c r="E258" s="573">
        <v>5000</v>
      </c>
      <c r="F258" s="561" t="s">
        <v>5018</v>
      </c>
      <c r="G258" s="561" t="s">
        <v>2931</v>
      </c>
      <c r="H258" s="561" t="s">
        <v>20</v>
      </c>
      <c r="I258" s="561" t="s">
        <v>2931</v>
      </c>
      <c r="J258" s="571">
        <v>44043</v>
      </c>
      <c r="K258" s="577" t="s">
        <v>3803</v>
      </c>
      <c r="L258" s="587"/>
      <c r="M258" s="587"/>
      <c r="N258" s="587"/>
      <c r="O258" s="587"/>
      <c r="P258" s="587"/>
      <c r="Q258" s="589"/>
      <c r="R258" s="587"/>
      <c r="S258" s="588"/>
      <c r="T258" s="587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70"/>
      <c r="AH258" s="570"/>
      <c r="AI258" s="570"/>
      <c r="AJ258" s="570"/>
      <c r="AK258" s="570"/>
      <c r="AL258" s="570"/>
      <c r="AM258" s="570"/>
      <c r="AN258" s="570"/>
      <c r="AO258" s="570"/>
      <c r="AP258" s="570"/>
      <c r="AQ258" s="570"/>
      <c r="AR258" s="570"/>
      <c r="AS258" s="570"/>
      <c r="AT258" s="570"/>
      <c r="AU258" s="570"/>
    </row>
    <row r="259" spans="1:47" ht="15.75" customHeight="1">
      <c r="A259" s="575">
        <v>44230</v>
      </c>
      <c r="B259" s="576" t="s">
        <v>6375</v>
      </c>
      <c r="C259" s="405" t="s">
        <v>2929</v>
      </c>
      <c r="D259" s="561" t="s">
        <v>6343</v>
      </c>
      <c r="E259" s="573">
        <v>100000</v>
      </c>
      <c r="F259" s="561" t="s">
        <v>3171</v>
      </c>
      <c r="G259" s="571" t="s">
        <v>2931</v>
      </c>
      <c r="H259" s="571" t="s">
        <v>20</v>
      </c>
      <c r="I259" s="571" t="s">
        <v>2932</v>
      </c>
      <c r="J259" s="571">
        <v>43888</v>
      </c>
      <c r="K259" s="574" t="s">
        <v>3803</v>
      </c>
      <c r="L259" s="587"/>
      <c r="M259" s="587"/>
      <c r="N259" s="587"/>
      <c r="O259" s="587"/>
      <c r="P259" s="587"/>
      <c r="Q259" s="589"/>
      <c r="R259" s="587"/>
      <c r="S259" s="588"/>
      <c r="T259" s="587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70"/>
      <c r="AH259" s="570"/>
      <c r="AI259" s="570"/>
      <c r="AJ259" s="570"/>
      <c r="AK259" s="570"/>
      <c r="AL259" s="570"/>
      <c r="AM259" s="570"/>
      <c r="AN259" s="570"/>
      <c r="AO259" s="570"/>
      <c r="AP259" s="570"/>
      <c r="AQ259" s="570"/>
      <c r="AR259" s="570"/>
      <c r="AS259" s="570"/>
      <c r="AT259" s="570"/>
      <c r="AU259" s="570"/>
    </row>
    <row r="260" spans="1:47" ht="15.75" customHeight="1">
      <c r="A260" s="575">
        <v>44235</v>
      </c>
      <c r="B260" s="576" t="s">
        <v>3702</v>
      </c>
      <c r="C260" s="405" t="s">
        <v>3613</v>
      </c>
      <c r="D260" s="561" t="s">
        <v>6343</v>
      </c>
      <c r="E260" s="573">
        <v>75000</v>
      </c>
      <c r="F260" s="561" t="s">
        <v>3701</v>
      </c>
      <c r="G260" s="571" t="s">
        <v>19</v>
      </c>
      <c r="H260" s="571" t="s">
        <v>20</v>
      </c>
      <c r="I260" s="571" t="s">
        <v>2518</v>
      </c>
      <c r="J260" s="571">
        <v>43797</v>
      </c>
      <c r="K260" s="574" t="s">
        <v>3813</v>
      </c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70"/>
      <c r="AH260" s="570"/>
      <c r="AI260" s="570"/>
      <c r="AJ260" s="570"/>
      <c r="AK260" s="570"/>
      <c r="AL260" s="570"/>
      <c r="AM260" s="570"/>
      <c r="AN260" s="570"/>
      <c r="AO260" s="570"/>
      <c r="AP260" s="570"/>
      <c r="AQ260" s="570"/>
      <c r="AR260" s="570"/>
      <c r="AS260" s="570"/>
      <c r="AT260" s="570"/>
      <c r="AU260" s="570"/>
    </row>
    <row r="261" spans="1:47" ht="15.75" customHeight="1">
      <c r="A261" s="575">
        <v>44236</v>
      </c>
      <c r="B261" s="576" t="s">
        <v>6421</v>
      </c>
      <c r="C261" s="405" t="s">
        <v>3793</v>
      </c>
      <c r="D261" s="561" t="s">
        <v>6343</v>
      </c>
      <c r="E261" s="573">
        <v>40000</v>
      </c>
      <c r="F261" s="561" t="s">
        <v>4149</v>
      </c>
      <c r="G261" s="561" t="s">
        <v>19</v>
      </c>
      <c r="H261" s="561" t="s">
        <v>20</v>
      </c>
      <c r="I261" s="561" t="s">
        <v>4150</v>
      </c>
      <c r="J261" s="571">
        <v>44089</v>
      </c>
      <c r="K261" s="577" t="s">
        <v>3810</v>
      </c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 t="s">
        <v>956</v>
      </c>
      <c r="AB261" s="570"/>
      <c r="AC261" s="570"/>
      <c r="AD261" s="570"/>
      <c r="AE261" s="570"/>
      <c r="AF261" s="570"/>
      <c r="AG261" s="570"/>
      <c r="AH261" s="570"/>
      <c r="AI261" s="570"/>
      <c r="AJ261" s="570"/>
      <c r="AK261" s="570"/>
      <c r="AL261" s="570"/>
      <c r="AM261" s="570"/>
      <c r="AN261" s="570"/>
      <c r="AO261" s="570"/>
      <c r="AP261" s="570"/>
      <c r="AQ261" s="570"/>
      <c r="AR261" s="570"/>
      <c r="AS261" s="570"/>
      <c r="AT261" s="570"/>
      <c r="AU261" s="570"/>
    </row>
    <row r="262" spans="1:47" ht="15.75" customHeight="1">
      <c r="A262" s="575">
        <v>44237</v>
      </c>
      <c r="B262" s="576" t="s">
        <v>6399</v>
      </c>
      <c r="C262" s="405" t="s">
        <v>3793</v>
      </c>
      <c r="D262" s="561" t="s">
        <v>6343</v>
      </c>
      <c r="E262" s="573">
        <v>60000</v>
      </c>
      <c r="F262" s="561" t="s">
        <v>4484</v>
      </c>
      <c r="G262" s="561" t="s">
        <v>2931</v>
      </c>
      <c r="H262" s="561" t="s">
        <v>20</v>
      </c>
      <c r="I262" s="561" t="s">
        <v>2931</v>
      </c>
      <c r="J262" s="571">
        <v>43901</v>
      </c>
      <c r="K262" s="577" t="s">
        <v>3797</v>
      </c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 t="s">
        <v>921</v>
      </c>
      <c r="AB262" s="570"/>
      <c r="AC262" s="570"/>
      <c r="AD262" s="570"/>
      <c r="AE262" s="570"/>
      <c r="AF262" s="570"/>
      <c r="AG262" s="570"/>
      <c r="AH262" s="570"/>
      <c r="AI262" s="570"/>
      <c r="AJ262" s="570"/>
      <c r="AK262" s="570"/>
      <c r="AL262" s="570"/>
      <c r="AM262" s="570"/>
      <c r="AN262" s="570"/>
      <c r="AO262" s="570"/>
      <c r="AP262" s="570"/>
      <c r="AQ262" s="570"/>
      <c r="AR262" s="570"/>
      <c r="AS262" s="570"/>
      <c r="AT262" s="570"/>
      <c r="AU262" s="570"/>
    </row>
    <row r="263" spans="1:47" ht="15.75" customHeight="1">
      <c r="A263" s="575">
        <v>44239</v>
      </c>
      <c r="B263" s="576" t="s">
        <v>6422</v>
      </c>
      <c r="C263" s="405" t="s">
        <v>2929</v>
      </c>
      <c r="D263" s="561" t="s">
        <v>6343</v>
      </c>
      <c r="E263" s="573">
        <v>0</v>
      </c>
      <c r="F263" s="561" t="s">
        <v>3117</v>
      </c>
      <c r="G263" s="571" t="s">
        <v>2931</v>
      </c>
      <c r="H263" s="571" t="s">
        <v>20</v>
      </c>
      <c r="I263" s="571" t="s">
        <v>2932</v>
      </c>
      <c r="J263" s="571">
        <v>43888</v>
      </c>
      <c r="K263" s="574" t="s">
        <v>3813</v>
      </c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 t="s">
        <v>6343</v>
      </c>
      <c r="AB263" s="570"/>
      <c r="AC263" s="570"/>
      <c r="AD263" s="570"/>
      <c r="AE263" s="570"/>
      <c r="AF263" s="570"/>
      <c r="AG263" s="570"/>
      <c r="AH263" s="570"/>
      <c r="AI263" s="570"/>
      <c r="AJ263" s="570"/>
      <c r="AK263" s="570"/>
      <c r="AL263" s="570"/>
      <c r="AM263" s="570"/>
      <c r="AN263" s="570"/>
      <c r="AO263" s="570"/>
      <c r="AP263" s="570"/>
      <c r="AQ263" s="570"/>
      <c r="AR263" s="570"/>
      <c r="AS263" s="570"/>
      <c r="AT263" s="570"/>
      <c r="AU263" s="570"/>
    </row>
    <row r="264" spans="1:47" ht="15.75" customHeight="1">
      <c r="A264" s="575">
        <v>44246</v>
      </c>
      <c r="B264" s="576" t="s">
        <v>6423</v>
      </c>
      <c r="C264" s="405" t="s">
        <v>3793</v>
      </c>
      <c r="D264" s="561" t="s">
        <v>6343</v>
      </c>
      <c r="E264" s="573">
        <v>147535.35999999999</v>
      </c>
      <c r="F264" s="561" t="s">
        <v>3865</v>
      </c>
      <c r="G264" s="561" t="s">
        <v>2931</v>
      </c>
      <c r="H264" s="561" t="s">
        <v>20</v>
      </c>
      <c r="I264" s="561" t="s">
        <v>2931</v>
      </c>
      <c r="J264" s="571">
        <v>44180</v>
      </c>
      <c r="K264" s="577" t="s">
        <v>3803</v>
      </c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70"/>
      <c r="AH264" s="570"/>
      <c r="AI264" s="570"/>
      <c r="AJ264" s="570"/>
      <c r="AK264" s="570"/>
      <c r="AL264" s="570"/>
      <c r="AM264" s="570"/>
      <c r="AN264" s="570"/>
      <c r="AO264" s="570"/>
      <c r="AP264" s="570"/>
      <c r="AQ264" s="570"/>
      <c r="AR264" s="570"/>
      <c r="AS264" s="570"/>
      <c r="AT264" s="570"/>
      <c r="AU264" s="570"/>
    </row>
    <row r="265" spans="1:47" ht="15.75" customHeight="1">
      <c r="A265" s="575">
        <v>44246</v>
      </c>
      <c r="B265" s="576" t="s">
        <v>6364</v>
      </c>
      <c r="C265" s="405" t="s">
        <v>2929</v>
      </c>
      <c r="D265" s="561" t="s">
        <v>6343</v>
      </c>
      <c r="E265" s="573">
        <v>10000</v>
      </c>
      <c r="F265" s="561" t="s">
        <v>3516</v>
      </c>
      <c r="G265" s="571" t="s">
        <v>2931</v>
      </c>
      <c r="H265" s="571" t="s">
        <v>20</v>
      </c>
      <c r="I265" s="571" t="s">
        <v>2932</v>
      </c>
      <c r="J265" s="571">
        <v>43717</v>
      </c>
      <c r="K265" s="574" t="s">
        <v>4196</v>
      </c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  <c r="AT265" s="570"/>
      <c r="AU265" s="570"/>
    </row>
    <row r="266" spans="1:47" ht="15.75" customHeight="1">
      <c r="A266" s="575">
        <v>44251</v>
      </c>
      <c r="B266" s="576" t="s">
        <v>6424</v>
      </c>
      <c r="C266" s="405" t="s">
        <v>2929</v>
      </c>
      <c r="D266" s="561" t="s">
        <v>6343</v>
      </c>
      <c r="E266" s="573">
        <v>7000</v>
      </c>
      <c r="F266" s="561" t="s">
        <v>3438</v>
      </c>
      <c r="G266" s="571" t="s">
        <v>19</v>
      </c>
      <c r="H266" s="571" t="s">
        <v>20</v>
      </c>
      <c r="I266" s="571" t="s">
        <v>3080</v>
      </c>
      <c r="J266" s="571">
        <v>43417</v>
      </c>
      <c r="K266" s="574" t="s">
        <v>5227</v>
      </c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70"/>
      <c r="AH266" s="570"/>
      <c r="AI266" s="570"/>
      <c r="AJ266" s="570"/>
      <c r="AK266" s="570"/>
      <c r="AL266" s="570"/>
      <c r="AM266" s="570"/>
      <c r="AN266" s="570"/>
      <c r="AO266" s="570"/>
      <c r="AP266" s="570"/>
      <c r="AQ266" s="570"/>
      <c r="AR266" s="570"/>
      <c r="AS266" s="570"/>
      <c r="AT266" s="570"/>
      <c r="AU266" s="570"/>
    </row>
    <row r="267" spans="1:47" ht="15.75" customHeight="1">
      <c r="A267" s="571">
        <v>44252</v>
      </c>
      <c r="B267" s="572" t="s">
        <v>6354</v>
      </c>
      <c r="C267" s="561" t="s">
        <v>3793</v>
      </c>
      <c r="D267" s="561" t="s">
        <v>956</v>
      </c>
      <c r="E267" s="573">
        <v>0</v>
      </c>
      <c r="F267" s="561" t="s">
        <v>4673</v>
      </c>
      <c r="G267" s="561" t="s">
        <v>2931</v>
      </c>
      <c r="H267" s="561" t="s">
        <v>20</v>
      </c>
      <c r="I267" s="561" t="s">
        <v>2931</v>
      </c>
      <c r="J267" s="571">
        <v>44252</v>
      </c>
      <c r="K267" s="577" t="s">
        <v>3813</v>
      </c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70"/>
      <c r="AH267" s="570"/>
      <c r="AI267" s="570"/>
      <c r="AJ267" s="570"/>
      <c r="AK267" s="570"/>
      <c r="AL267" s="570"/>
      <c r="AM267" s="570"/>
      <c r="AN267" s="570"/>
      <c r="AO267" s="570"/>
      <c r="AP267" s="570"/>
      <c r="AQ267" s="570"/>
      <c r="AR267" s="570"/>
      <c r="AS267" s="570"/>
      <c r="AT267" s="570"/>
      <c r="AU267" s="570"/>
    </row>
    <row r="268" spans="1:47" ht="15.75" customHeight="1">
      <c r="A268" s="575">
        <v>44252</v>
      </c>
      <c r="B268" s="576" t="s">
        <v>6362</v>
      </c>
      <c r="C268" s="405" t="s">
        <v>3793</v>
      </c>
      <c r="D268" s="561" t="s">
        <v>6343</v>
      </c>
      <c r="E268" s="573">
        <v>359512.5</v>
      </c>
      <c r="F268" s="561" t="s">
        <v>5119</v>
      </c>
      <c r="G268" s="561" t="s">
        <v>2931</v>
      </c>
      <c r="H268" s="561" t="s">
        <v>20</v>
      </c>
      <c r="I268" s="561" t="s">
        <v>2931</v>
      </c>
      <c r="J268" s="571">
        <v>44225</v>
      </c>
      <c r="K268" s="577" t="s">
        <v>3803</v>
      </c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70"/>
      <c r="AH268" s="570"/>
      <c r="AI268" s="570"/>
      <c r="AJ268" s="570"/>
      <c r="AK268" s="570"/>
      <c r="AL268" s="570"/>
      <c r="AM268" s="570"/>
      <c r="AN268" s="570"/>
      <c r="AO268" s="570"/>
      <c r="AP268" s="570"/>
      <c r="AQ268" s="570"/>
      <c r="AR268" s="570"/>
      <c r="AS268" s="570"/>
      <c r="AT268" s="570"/>
      <c r="AU268" s="570"/>
    </row>
    <row r="269" spans="1:47" ht="15.75" customHeight="1">
      <c r="A269" s="575">
        <v>44252</v>
      </c>
      <c r="B269" s="576" t="s">
        <v>6345</v>
      </c>
      <c r="C269" s="405" t="s">
        <v>3793</v>
      </c>
      <c r="D269" s="561" t="s">
        <v>6343</v>
      </c>
      <c r="E269" s="573">
        <v>0</v>
      </c>
      <c r="F269" s="561" t="s">
        <v>5056</v>
      </c>
      <c r="G269" s="561" t="s">
        <v>2931</v>
      </c>
      <c r="H269" s="561" t="s">
        <v>20</v>
      </c>
      <c r="I269" s="561" t="s">
        <v>2931</v>
      </c>
      <c r="J269" s="571">
        <v>43749</v>
      </c>
      <c r="K269" s="577" t="s">
        <v>4196</v>
      </c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70"/>
      <c r="AH269" s="570"/>
      <c r="AI269" s="570"/>
      <c r="AJ269" s="570"/>
      <c r="AK269" s="570"/>
      <c r="AL269" s="570"/>
      <c r="AM269" s="570"/>
      <c r="AN269" s="570"/>
      <c r="AO269" s="570"/>
      <c r="AP269" s="570"/>
      <c r="AQ269" s="570"/>
      <c r="AR269" s="570"/>
      <c r="AS269" s="570"/>
      <c r="AT269" s="570"/>
      <c r="AU269" s="570"/>
    </row>
    <row r="270" spans="1:47" ht="15.75" customHeight="1">
      <c r="A270" s="575">
        <v>44252</v>
      </c>
      <c r="B270" s="576" t="s">
        <v>6396</v>
      </c>
      <c r="C270" s="405" t="s">
        <v>3793</v>
      </c>
      <c r="D270" s="561" t="s">
        <v>6343</v>
      </c>
      <c r="E270" s="573">
        <v>30000</v>
      </c>
      <c r="F270" s="561" t="s">
        <v>5018</v>
      </c>
      <c r="G270" s="561" t="s">
        <v>2931</v>
      </c>
      <c r="H270" s="561" t="s">
        <v>20</v>
      </c>
      <c r="I270" s="561" t="s">
        <v>2931</v>
      </c>
      <c r="J270" s="571">
        <v>44043</v>
      </c>
      <c r="K270" s="577" t="s">
        <v>3803</v>
      </c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70"/>
      <c r="AH270" s="570"/>
      <c r="AI270" s="570"/>
      <c r="AJ270" s="570"/>
      <c r="AK270" s="570"/>
      <c r="AL270" s="570"/>
      <c r="AM270" s="570"/>
      <c r="AN270" s="570"/>
      <c r="AO270" s="570"/>
      <c r="AP270" s="570"/>
      <c r="AQ270" s="570"/>
      <c r="AR270" s="570"/>
      <c r="AS270" s="570"/>
      <c r="AT270" s="570"/>
      <c r="AU270" s="570"/>
    </row>
    <row r="271" spans="1:47" ht="15.75" customHeight="1">
      <c r="A271" s="571">
        <v>44253</v>
      </c>
      <c r="B271" s="572" t="s">
        <v>6425</v>
      </c>
      <c r="C271" s="561" t="s">
        <v>3793</v>
      </c>
      <c r="D271" s="561" t="s">
        <v>956</v>
      </c>
      <c r="E271" s="573">
        <v>0</v>
      </c>
      <c r="F271" s="561" t="s">
        <v>4146</v>
      </c>
      <c r="G271" s="561" t="s">
        <v>46</v>
      </c>
      <c r="H271" s="561" t="s">
        <v>20</v>
      </c>
      <c r="I271" s="561" t="s">
        <v>234</v>
      </c>
      <c r="J271" s="571">
        <v>44183</v>
      </c>
      <c r="K271" s="577" t="s">
        <v>3803</v>
      </c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70"/>
      <c r="AH271" s="570"/>
      <c r="AI271" s="570"/>
      <c r="AJ271" s="570"/>
      <c r="AK271" s="570"/>
      <c r="AL271" s="570"/>
      <c r="AM271" s="570"/>
      <c r="AN271" s="570"/>
      <c r="AO271" s="570"/>
      <c r="AP271" s="570"/>
      <c r="AQ271" s="570"/>
      <c r="AR271" s="570"/>
      <c r="AS271" s="570"/>
      <c r="AT271" s="570"/>
      <c r="AU271" s="570"/>
    </row>
    <row r="272" spans="1:47" ht="15.75" customHeight="1">
      <c r="A272" s="575">
        <v>44253</v>
      </c>
      <c r="B272" s="576" t="s">
        <v>6426</v>
      </c>
      <c r="C272" s="405" t="s">
        <v>3793</v>
      </c>
      <c r="D272" s="561" t="s">
        <v>6343</v>
      </c>
      <c r="E272" s="573">
        <v>600000</v>
      </c>
      <c r="F272" s="561" t="s">
        <v>4660</v>
      </c>
      <c r="G272" s="561" t="s">
        <v>46</v>
      </c>
      <c r="H272" s="561" t="s">
        <v>20</v>
      </c>
      <c r="I272" s="561" t="s">
        <v>56</v>
      </c>
      <c r="J272" s="571">
        <v>44067</v>
      </c>
      <c r="K272" s="577" t="s">
        <v>3817</v>
      </c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70"/>
      <c r="AH272" s="570"/>
      <c r="AI272" s="570"/>
      <c r="AJ272" s="570"/>
      <c r="AK272" s="570"/>
      <c r="AL272" s="570"/>
      <c r="AM272" s="570"/>
      <c r="AN272" s="570"/>
      <c r="AO272" s="570"/>
      <c r="AP272" s="570"/>
      <c r="AQ272" s="570"/>
      <c r="AR272" s="570"/>
      <c r="AS272" s="570"/>
      <c r="AT272" s="570"/>
      <c r="AU272" s="570"/>
    </row>
    <row r="273" spans="1:47" ht="15.75" customHeight="1">
      <c r="A273" s="575">
        <v>44253</v>
      </c>
      <c r="B273" s="576" t="s">
        <v>6425</v>
      </c>
      <c r="C273" s="405" t="s">
        <v>3793</v>
      </c>
      <c r="D273" s="561" t="s">
        <v>6343</v>
      </c>
      <c r="E273" s="573">
        <v>33961.75</v>
      </c>
      <c r="F273" s="561" t="s">
        <v>4146</v>
      </c>
      <c r="G273" s="561" t="s">
        <v>46</v>
      </c>
      <c r="H273" s="561" t="s">
        <v>20</v>
      </c>
      <c r="I273" s="561" t="s">
        <v>234</v>
      </c>
      <c r="J273" s="571">
        <v>44183</v>
      </c>
      <c r="K273" s="577" t="s">
        <v>3803</v>
      </c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70"/>
      <c r="AH273" s="570"/>
      <c r="AI273" s="570"/>
      <c r="AJ273" s="570"/>
      <c r="AK273" s="570"/>
      <c r="AL273" s="570"/>
      <c r="AM273" s="570"/>
      <c r="AN273" s="570"/>
      <c r="AO273" s="570"/>
      <c r="AP273" s="570"/>
      <c r="AQ273" s="570"/>
      <c r="AR273" s="570"/>
      <c r="AS273" s="570"/>
      <c r="AT273" s="570"/>
      <c r="AU273" s="570"/>
    </row>
    <row r="274" spans="1:47" ht="15.75" customHeight="1">
      <c r="A274" s="575">
        <v>44258</v>
      </c>
      <c r="B274" s="576" t="s">
        <v>6357</v>
      </c>
      <c r="C274" s="405" t="s">
        <v>2929</v>
      </c>
      <c r="D274" s="561" t="s">
        <v>6343</v>
      </c>
      <c r="E274" s="573">
        <v>47591.43</v>
      </c>
      <c r="F274" s="561" t="s">
        <v>3243</v>
      </c>
      <c r="G274" s="571" t="s">
        <v>2931</v>
      </c>
      <c r="H274" s="571" t="s">
        <v>20</v>
      </c>
      <c r="I274" s="571" t="s">
        <v>2938</v>
      </c>
      <c r="J274" s="571">
        <v>43559</v>
      </c>
      <c r="K274" s="574" t="s">
        <v>4196</v>
      </c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70"/>
      <c r="AH274" s="570"/>
      <c r="AI274" s="570"/>
      <c r="AJ274" s="570"/>
      <c r="AK274" s="570"/>
      <c r="AL274" s="570"/>
      <c r="AM274" s="570"/>
      <c r="AN274" s="570"/>
      <c r="AO274" s="570"/>
      <c r="AP274" s="570"/>
      <c r="AQ274" s="570"/>
      <c r="AR274" s="570"/>
      <c r="AS274" s="570"/>
      <c r="AT274" s="570"/>
      <c r="AU274" s="570"/>
    </row>
    <row r="275" spans="1:47" ht="15.75" customHeight="1">
      <c r="A275" s="575">
        <v>44258</v>
      </c>
      <c r="B275" s="576" t="s">
        <v>6427</v>
      </c>
      <c r="C275" s="405" t="s">
        <v>2929</v>
      </c>
      <c r="D275" s="561" t="s">
        <v>921</v>
      </c>
      <c r="E275" s="573">
        <v>5000</v>
      </c>
      <c r="F275" s="561" t="s">
        <v>3079</v>
      </c>
      <c r="G275" s="571" t="s">
        <v>19</v>
      </c>
      <c r="H275" s="571" t="s">
        <v>20</v>
      </c>
      <c r="I275" s="571" t="s">
        <v>3080</v>
      </c>
      <c r="J275" s="571">
        <v>43416</v>
      </c>
      <c r="K275" s="574" t="s">
        <v>3817</v>
      </c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70"/>
      <c r="AH275" s="570"/>
      <c r="AI275" s="570"/>
      <c r="AJ275" s="570"/>
      <c r="AK275" s="570"/>
      <c r="AL275" s="570"/>
      <c r="AM275" s="570"/>
      <c r="AN275" s="570"/>
      <c r="AO275" s="570"/>
      <c r="AP275" s="570"/>
      <c r="AQ275" s="570"/>
      <c r="AR275" s="570"/>
      <c r="AS275" s="570"/>
      <c r="AT275" s="570"/>
      <c r="AU275" s="570"/>
    </row>
    <row r="276" spans="1:47" ht="15.75" customHeight="1">
      <c r="A276" s="575">
        <v>44258</v>
      </c>
      <c r="B276" s="576" t="s">
        <v>3702</v>
      </c>
      <c r="C276" s="405" t="s">
        <v>3613</v>
      </c>
      <c r="D276" s="561" t="s">
        <v>921</v>
      </c>
      <c r="E276" s="573">
        <v>721960.02</v>
      </c>
      <c r="F276" s="561" t="s">
        <v>3701</v>
      </c>
      <c r="G276" s="571" t="s">
        <v>19</v>
      </c>
      <c r="H276" s="571" t="s">
        <v>20</v>
      </c>
      <c r="I276" s="571" t="s">
        <v>2518</v>
      </c>
      <c r="J276" s="571">
        <v>43797</v>
      </c>
      <c r="K276" s="574" t="s">
        <v>3813</v>
      </c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70"/>
      <c r="AH276" s="570"/>
      <c r="AI276" s="570"/>
      <c r="AJ276" s="570"/>
      <c r="AK276" s="570"/>
      <c r="AL276" s="570"/>
      <c r="AM276" s="570"/>
      <c r="AN276" s="570"/>
      <c r="AO276" s="570"/>
      <c r="AP276" s="570"/>
      <c r="AQ276" s="570"/>
      <c r="AR276" s="570"/>
      <c r="AS276" s="570"/>
      <c r="AT276" s="570"/>
      <c r="AU276" s="570"/>
    </row>
    <row r="277" spans="1:47" ht="15.75" customHeight="1">
      <c r="A277" s="575">
        <v>44260</v>
      </c>
      <c r="B277" s="576" t="s">
        <v>6375</v>
      </c>
      <c r="C277" s="405" t="s">
        <v>2929</v>
      </c>
      <c r="D277" s="561" t="s">
        <v>6343</v>
      </c>
      <c r="E277" s="573">
        <v>50844.88</v>
      </c>
      <c r="F277" s="561" t="s">
        <v>3171</v>
      </c>
      <c r="G277" s="571" t="s">
        <v>2931</v>
      </c>
      <c r="H277" s="571" t="s">
        <v>20</v>
      </c>
      <c r="I277" s="571" t="s">
        <v>2932</v>
      </c>
      <c r="J277" s="571">
        <v>43888</v>
      </c>
      <c r="K277" s="574" t="s">
        <v>3803</v>
      </c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70"/>
      <c r="AH277" s="570"/>
      <c r="AI277" s="570"/>
      <c r="AJ277" s="570"/>
      <c r="AK277" s="570"/>
      <c r="AL277" s="570"/>
      <c r="AM277" s="570"/>
      <c r="AN277" s="570"/>
      <c r="AO277" s="570"/>
      <c r="AP277" s="570"/>
      <c r="AQ277" s="570"/>
      <c r="AR277" s="570"/>
      <c r="AS277" s="570"/>
      <c r="AT277" s="570"/>
      <c r="AU277" s="570"/>
    </row>
    <row r="278" spans="1:47" ht="15.75" customHeight="1">
      <c r="A278" s="575">
        <v>44263</v>
      </c>
      <c r="B278" s="576" t="s">
        <v>6428</v>
      </c>
      <c r="C278" s="405" t="s">
        <v>2929</v>
      </c>
      <c r="D278" s="561" t="s">
        <v>6343</v>
      </c>
      <c r="E278" s="573">
        <v>20000</v>
      </c>
      <c r="F278" s="561" t="s">
        <v>3254</v>
      </c>
      <c r="G278" s="571" t="s">
        <v>19</v>
      </c>
      <c r="H278" s="571" t="s">
        <v>20</v>
      </c>
      <c r="I278" s="571" t="s">
        <v>3080</v>
      </c>
      <c r="J278" s="571">
        <v>43515</v>
      </c>
      <c r="K278" s="574" t="s">
        <v>3817</v>
      </c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70"/>
      <c r="AH278" s="570"/>
      <c r="AI278" s="570"/>
      <c r="AJ278" s="570"/>
      <c r="AK278" s="570"/>
      <c r="AL278" s="570"/>
      <c r="AM278" s="570"/>
      <c r="AN278" s="570"/>
      <c r="AO278" s="570"/>
      <c r="AP278" s="570"/>
      <c r="AQ278" s="570"/>
      <c r="AR278" s="570"/>
      <c r="AS278" s="570"/>
      <c r="AT278" s="570"/>
      <c r="AU278" s="570"/>
    </row>
    <row r="279" spans="1:47" ht="15.75" customHeight="1">
      <c r="A279" s="571">
        <v>44264</v>
      </c>
      <c r="B279" s="572" t="s">
        <v>6375</v>
      </c>
      <c r="C279" s="561" t="s">
        <v>2929</v>
      </c>
      <c r="D279" s="561" t="s">
        <v>956</v>
      </c>
      <c r="E279" s="573">
        <v>111979.59</v>
      </c>
      <c r="F279" s="561" t="s">
        <v>3171</v>
      </c>
      <c r="G279" s="571" t="s">
        <v>2931</v>
      </c>
      <c r="H279" s="571" t="s">
        <v>20</v>
      </c>
      <c r="I279" s="571" t="s">
        <v>2932</v>
      </c>
      <c r="J279" s="571">
        <v>43888</v>
      </c>
      <c r="K279" s="574" t="s">
        <v>3803</v>
      </c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70"/>
      <c r="AH279" s="570"/>
      <c r="AI279" s="570"/>
      <c r="AJ279" s="570"/>
      <c r="AK279" s="570"/>
      <c r="AL279" s="570"/>
      <c r="AM279" s="570"/>
      <c r="AN279" s="570"/>
      <c r="AO279" s="570"/>
      <c r="AP279" s="570"/>
      <c r="AQ279" s="570"/>
      <c r="AR279" s="570"/>
      <c r="AS279" s="570"/>
      <c r="AT279" s="570"/>
      <c r="AU279" s="570"/>
    </row>
    <row r="280" spans="1:47" ht="15.75" customHeight="1">
      <c r="A280" s="575">
        <v>44264</v>
      </c>
      <c r="B280" s="576" t="s">
        <v>6416</v>
      </c>
      <c r="C280" s="405" t="s">
        <v>3793</v>
      </c>
      <c r="D280" s="561" t="s">
        <v>921</v>
      </c>
      <c r="E280" s="573">
        <v>100000</v>
      </c>
      <c r="F280" s="561" t="s">
        <v>3998</v>
      </c>
      <c r="G280" s="561" t="s">
        <v>2931</v>
      </c>
      <c r="H280" s="561" t="s">
        <v>20</v>
      </c>
      <c r="I280" s="561" t="s">
        <v>2931</v>
      </c>
      <c r="J280" s="571">
        <v>43847</v>
      </c>
      <c r="K280" s="577" t="s">
        <v>3803</v>
      </c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70"/>
      <c r="AH280" s="570"/>
      <c r="AI280" s="570"/>
      <c r="AJ280" s="570"/>
      <c r="AK280" s="570"/>
      <c r="AL280" s="570"/>
      <c r="AM280" s="570"/>
      <c r="AN280" s="570"/>
      <c r="AO280" s="570"/>
      <c r="AP280" s="570"/>
      <c r="AQ280" s="570"/>
      <c r="AR280" s="570"/>
      <c r="AS280" s="570"/>
      <c r="AT280" s="570"/>
      <c r="AU280" s="570"/>
    </row>
    <row r="281" spans="1:47" ht="15.75" customHeight="1">
      <c r="A281" s="575">
        <v>44264</v>
      </c>
      <c r="B281" s="576" t="s">
        <v>6396</v>
      </c>
      <c r="C281" s="405" t="s">
        <v>3793</v>
      </c>
      <c r="D281" s="561" t="s">
        <v>921</v>
      </c>
      <c r="E281" s="573">
        <v>900000</v>
      </c>
      <c r="F281" s="561" t="s">
        <v>5018</v>
      </c>
      <c r="G281" s="561" t="s">
        <v>2931</v>
      </c>
      <c r="H281" s="561" t="s">
        <v>20</v>
      </c>
      <c r="I281" s="561" t="s">
        <v>2931</v>
      </c>
      <c r="J281" s="571">
        <v>44043</v>
      </c>
      <c r="K281" s="577" t="s">
        <v>3803</v>
      </c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70"/>
      <c r="AH281" s="570"/>
      <c r="AI281" s="570"/>
      <c r="AJ281" s="570"/>
      <c r="AK281" s="570"/>
      <c r="AL281" s="570"/>
      <c r="AM281" s="570"/>
      <c r="AN281" s="570"/>
      <c r="AO281" s="570"/>
      <c r="AP281" s="570"/>
      <c r="AQ281" s="570"/>
      <c r="AR281" s="570"/>
      <c r="AS281" s="570"/>
      <c r="AT281" s="570"/>
      <c r="AU281" s="570"/>
    </row>
    <row r="282" spans="1:47" ht="15.75" customHeight="1">
      <c r="A282" s="575">
        <v>44264</v>
      </c>
      <c r="B282" s="576" t="s">
        <v>6429</v>
      </c>
      <c r="C282" s="405" t="s">
        <v>3793</v>
      </c>
      <c r="D282" s="561" t="s">
        <v>921</v>
      </c>
      <c r="E282" s="573">
        <v>13000</v>
      </c>
      <c r="F282" s="561" t="s">
        <v>4651</v>
      </c>
      <c r="G282" s="561" t="s">
        <v>2931</v>
      </c>
      <c r="H282" s="561" t="s">
        <v>20</v>
      </c>
      <c r="I282" s="561" t="s">
        <v>2931</v>
      </c>
      <c r="J282" s="571">
        <v>44070</v>
      </c>
      <c r="K282" s="577" t="s">
        <v>3797</v>
      </c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70"/>
      <c r="AH282" s="570"/>
      <c r="AI282" s="570"/>
      <c r="AJ282" s="570"/>
      <c r="AK282" s="570"/>
      <c r="AL282" s="570"/>
      <c r="AM282" s="570"/>
      <c r="AN282" s="570"/>
      <c r="AO282" s="570"/>
      <c r="AP282" s="570"/>
      <c r="AQ282" s="570"/>
      <c r="AR282" s="570"/>
      <c r="AS282" s="570"/>
      <c r="AT282" s="570"/>
      <c r="AU282" s="570"/>
    </row>
    <row r="283" spans="1:47" ht="15.75" customHeight="1">
      <c r="A283" s="571">
        <v>44270</v>
      </c>
      <c r="B283" s="572" t="s">
        <v>6430</v>
      </c>
      <c r="C283" s="561" t="s">
        <v>3793</v>
      </c>
      <c r="D283" s="561" t="s">
        <v>956</v>
      </c>
      <c r="E283" s="573">
        <v>0</v>
      </c>
      <c r="F283" s="561" t="s">
        <v>4479</v>
      </c>
      <c r="G283" s="561" t="s">
        <v>46</v>
      </c>
      <c r="H283" s="561" t="s">
        <v>20</v>
      </c>
      <c r="I283" s="561" t="s">
        <v>6431</v>
      </c>
      <c r="J283" s="571">
        <v>44160</v>
      </c>
      <c r="K283" s="577" t="s">
        <v>3797</v>
      </c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70"/>
      <c r="AH283" s="570"/>
      <c r="AI283" s="570"/>
      <c r="AJ283" s="570"/>
      <c r="AK283" s="570"/>
      <c r="AL283" s="570"/>
      <c r="AM283" s="570"/>
      <c r="AN283" s="570"/>
      <c r="AO283" s="570"/>
      <c r="AP283" s="570"/>
      <c r="AQ283" s="570"/>
      <c r="AR283" s="570"/>
      <c r="AS283" s="570"/>
      <c r="AT283" s="570"/>
      <c r="AU283" s="570"/>
    </row>
    <row r="284" spans="1:47" ht="15.75" customHeight="1">
      <c r="A284" s="571">
        <v>44270</v>
      </c>
      <c r="B284" s="572" t="s">
        <v>6432</v>
      </c>
      <c r="C284" s="561" t="s">
        <v>3793</v>
      </c>
      <c r="D284" s="561" t="s">
        <v>956</v>
      </c>
      <c r="E284" s="573">
        <v>0</v>
      </c>
      <c r="F284" s="561" t="s">
        <v>5087</v>
      </c>
      <c r="G284" s="561" t="s">
        <v>2931</v>
      </c>
      <c r="H284" s="561" t="s">
        <v>20</v>
      </c>
      <c r="I284" s="561" t="s">
        <v>2931</v>
      </c>
      <c r="J284" s="571">
        <v>44244</v>
      </c>
      <c r="K284" s="577" t="s">
        <v>3803</v>
      </c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70"/>
      <c r="AH284" s="570"/>
      <c r="AI284" s="570"/>
      <c r="AJ284" s="570"/>
      <c r="AK284" s="570"/>
      <c r="AL284" s="570"/>
      <c r="AM284" s="570"/>
      <c r="AN284" s="570"/>
      <c r="AO284" s="570"/>
      <c r="AP284" s="570"/>
      <c r="AQ284" s="570"/>
      <c r="AR284" s="570"/>
      <c r="AS284" s="570"/>
      <c r="AT284" s="570"/>
      <c r="AU284" s="570"/>
    </row>
    <row r="285" spans="1:47" ht="15.75" customHeight="1">
      <c r="A285" s="575">
        <v>44270</v>
      </c>
      <c r="B285" s="576" t="s">
        <v>6357</v>
      </c>
      <c r="C285" s="405" t="s">
        <v>2929</v>
      </c>
      <c r="D285" s="561" t="s">
        <v>6343</v>
      </c>
      <c r="E285" s="573">
        <v>100000</v>
      </c>
      <c r="F285" s="561" t="s">
        <v>3243</v>
      </c>
      <c r="G285" s="571" t="s">
        <v>2931</v>
      </c>
      <c r="H285" s="571" t="s">
        <v>20</v>
      </c>
      <c r="I285" s="571" t="s">
        <v>2938</v>
      </c>
      <c r="J285" s="571">
        <v>43559</v>
      </c>
      <c r="K285" s="574" t="s">
        <v>4196</v>
      </c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70"/>
      <c r="AH285" s="570"/>
      <c r="AI285" s="570"/>
      <c r="AJ285" s="570"/>
      <c r="AK285" s="570"/>
      <c r="AL285" s="570"/>
      <c r="AM285" s="570"/>
      <c r="AN285" s="570"/>
      <c r="AO285" s="570"/>
      <c r="AP285" s="570"/>
      <c r="AQ285" s="570"/>
      <c r="AR285" s="570"/>
      <c r="AS285" s="570"/>
      <c r="AT285" s="570"/>
      <c r="AU285" s="570"/>
    </row>
    <row r="286" spans="1:47" ht="15.75" customHeight="1">
      <c r="A286" s="575">
        <v>44274</v>
      </c>
      <c r="B286" s="576" t="s">
        <v>6362</v>
      </c>
      <c r="C286" s="405" t="s">
        <v>3793</v>
      </c>
      <c r="D286" s="561" t="s">
        <v>921</v>
      </c>
      <c r="E286" s="573">
        <v>12500</v>
      </c>
      <c r="F286" s="561" t="s">
        <v>5119</v>
      </c>
      <c r="G286" s="561" t="s">
        <v>2931</v>
      </c>
      <c r="H286" s="561" t="s">
        <v>20</v>
      </c>
      <c r="I286" s="561" t="s">
        <v>2931</v>
      </c>
      <c r="J286" s="571">
        <v>44225</v>
      </c>
      <c r="K286" s="577" t="s">
        <v>3803</v>
      </c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70"/>
      <c r="AH286" s="570"/>
      <c r="AI286" s="570"/>
      <c r="AJ286" s="570"/>
      <c r="AK286" s="570"/>
      <c r="AL286" s="570"/>
      <c r="AM286" s="570"/>
      <c r="AN286" s="570"/>
      <c r="AO286" s="570"/>
      <c r="AP286" s="570"/>
      <c r="AQ286" s="570"/>
      <c r="AR286" s="570"/>
      <c r="AS286" s="570"/>
      <c r="AT286" s="570"/>
      <c r="AU286" s="570"/>
    </row>
    <row r="287" spans="1:47" ht="15.75" customHeight="1">
      <c r="A287" s="575">
        <v>44277</v>
      </c>
      <c r="B287" s="576" t="s">
        <v>6433</v>
      </c>
      <c r="C287" s="405" t="s">
        <v>3793</v>
      </c>
      <c r="D287" s="561" t="s">
        <v>921</v>
      </c>
      <c r="E287" s="573">
        <v>10000</v>
      </c>
      <c r="F287" s="561" t="s">
        <v>5254</v>
      </c>
      <c r="G287" s="561" t="s">
        <v>2931</v>
      </c>
      <c r="H287" s="561" t="s">
        <v>20</v>
      </c>
      <c r="I287" s="561" t="s">
        <v>2931</v>
      </c>
      <c r="J287" s="571">
        <v>44075</v>
      </c>
      <c r="K287" s="590" t="s">
        <v>3803</v>
      </c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70"/>
      <c r="AH287" s="570"/>
      <c r="AI287" s="570"/>
      <c r="AJ287" s="570"/>
      <c r="AK287" s="570"/>
      <c r="AL287" s="570"/>
      <c r="AM287" s="570"/>
      <c r="AN287" s="570"/>
      <c r="AO287" s="570"/>
      <c r="AP287" s="570"/>
      <c r="AQ287" s="570"/>
      <c r="AR287" s="570"/>
      <c r="AS287" s="570"/>
      <c r="AT287" s="570"/>
      <c r="AU287" s="570"/>
    </row>
    <row r="288" spans="1:47" ht="15.75" customHeight="1">
      <c r="A288" s="575">
        <v>44277</v>
      </c>
      <c r="B288" s="576" t="s">
        <v>6353</v>
      </c>
      <c r="C288" s="405" t="s">
        <v>2929</v>
      </c>
      <c r="D288" s="561" t="s">
        <v>6343</v>
      </c>
      <c r="E288" s="573">
        <v>96557.66</v>
      </c>
      <c r="F288" s="561" t="s">
        <v>3075</v>
      </c>
      <c r="G288" s="571" t="s">
        <v>2931</v>
      </c>
      <c r="H288" s="571" t="s">
        <v>20</v>
      </c>
      <c r="I288" s="571" t="s">
        <v>2932</v>
      </c>
      <c r="J288" s="571">
        <v>43822</v>
      </c>
      <c r="K288" s="571" t="s">
        <v>3813</v>
      </c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70"/>
      <c r="AH288" s="570"/>
      <c r="AI288" s="570"/>
      <c r="AJ288" s="570"/>
      <c r="AK288" s="570"/>
      <c r="AL288" s="570"/>
      <c r="AM288" s="570"/>
      <c r="AN288" s="570"/>
      <c r="AO288" s="570"/>
      <c r="AP288" s="570"/>
      <c r="AQ288" s="570"/>
      <c r="AR288" s="570"/>
      <c r="AS288" s="570"/>
      <c r="AT288" s="570"/>
      <c r="AU288" s="570"/>
    </row>
    <row r="289" spans="1:47" ht="15.75" customHeight="1">
      <c r="A289" s="575">
        <v>44278</v>
      </c>
      <c r="B289" s="576" t="s">
        <v>6434</v>
      </c>
      <c r="C289" s="405" t="s">
        <v>2929</v>
      </c>
      <c r="D289" s="561" t="s">
        <v>6343</v>
      </c>
      <c r="E289" s="573">
        <v>120000</v>
      </c>
      <c r="F289" s="561" t="s">
        <v>3411</v>
      </c>
      <c r="G289" s="571" t="s">
        <v>2931</v>
      </c>
      <c r="H289" s="571" t="s">
        <v>20</v>
      </c>
      <c r="I289" s="571" t="s">
        <v>2938</v>
      </c>
      <c r="J289" s="571">
        <v>43531</v>
      </c>
      <c r="K289" s="574" t="s">
        <v>4196</v>
      </c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70"/>
      <c r="AH289" s="570"/>
      <c r="AI289" s="570"/>
      <c r="AJ289" s="570"/>
      <c r="AK289" s="570"/>
      <c r="AL289" s="570"/>
      <c r="AM289" s="570"/>
      <c r="AN289" s="570"/>
      <c r="AO289" s="570"/>
      <c r="AP289" s="570"/>
      <c r="AQ289" s="570"/>
      <c r="AR289" s="570"/>
      <c r="AS289" s="570"/>
      <c r="AT289" s="570"/>
      <c r="AU289" s="570"/>
    </row>
    <row r="290" spans="1:47" ht="15.75" customHeight="1">
      <c r="A290" s="575">
        <v>44279</v>
      </c>
      <c r="B290" s="576" t="s">
        <v>6435</v>
      </c>
      <c r="C290" s="405" t="s">
        <v>2929</v>
      </c>
      <c r="D290" s="561" t="s">
        <v>6343</v>
      </c>
      <c r="E290" s="573">
        <v>5000</v>
      </c>
      <c r="F290" s="561" t="s">
        <v>6436</v>
      </c>
      <c r="G290" s="571" t="s">
        <v>19</v>
      </c>
      <c r="H290" s="571" t="s">
        <v>35</v>
      </c>
      <c r="I290" s="571" t="s">
        <v>199</v>
      </c>
      <c r="J290" s="571">
        <v>44278</v>
      </c>
      <c r="K290" s="574" t="s">
        <v>3803</v>
      </c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70"/>
      <c r="AH290" s="570"/>
      <c r="AI290" s="570"/>
      <c r="AJ290" s="570"/>
      <c r="AK290" s="570"/>
      <c r="AL290" s="570"/>
      <c r="AM290" s="570"/>
      <c r="AN290" s="570"/>
      <c r="AO290" s="570"/>
      <c r="AP290" s="570"/>
      <c r="AQ290" s="570"/>
      <c r="AR290" s="570"/>
      <c r="AS290" s="570"/>
      <c r="AT290" s="570"/>
      <c r="AU290" s="570"/>
    </row>
    <row r="291" spans="1:47" ht="15.75" customHeight="1">
      <c r="A291" s="575">
        <v>44279</v>
      </c>
      <c r="B291" s="576" t="s">
        <v>6437</v>
      </c>
      <c r="C291" s="405" t="s">
        <v>3793</v>
      </c>
      <c r="D291" s="561" t="s">
        <v>6343</v>
      </c>
      <c r="E291" s="573">
        <v>7000</v>
      </c>
      <c r="F291" s="561" t="s">
        <v>5245</v>
      </c>
      <c r="G291" s="561" t="s">
        <v>46</v>
      </c>
      <c r="H291" s="561" t="s">
        <v>20</v>
      </c>
      <c r="I291" s="561" t="s">
        <v>5246</v>
      </c>
      <c r="J291" s="571">
        <v>44105</v>
      </c>
      <c r="K291" s="577" t="s">
        <v>3817</v>
      </c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</row>
    <row r="292" spans="1:47" ht="15.75" customHeight="1">
      <c r="A292" s="575">
        <v>44280</v>
      </c>
      <c r="B292" s="576" t="s">
        <v>6438</v>
      </c>
      <c r="C292" s="405" t="s">
        <v>2929</v>
      </c>
      <c r="D292" s="561" t="s">
        <v>6343</v>
      </c>
      <c r="E292" s="573">
        <v>153417.37</v>
      </c>
      <c r="F292" s="561" t="s">
        <v>3046</v>
      </c>
      <c r="G292" s="571" t="s">
        <v>19</v>
      </c>
      <c r="H292" s="571" t="s">
        <v>35</v>
      </c>
      <c r="I292" s="571" t="s">
        <v>2979</v>
      </c>
      <c r="J292" s="571">
        <v>44273</v>
      </c>
      <c r="K292" s="574" t="s">
        <v>3803</v>
      </c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70"/>
      <c r="AH292" s="570"/>
      <c r="AI292" s="570"/>
      <c r="AJ292" s="570"/>
      <c r="AK292" s="570"/>
      <c r="AL292" s="570"/>
      <c r="AM292" s="570"/>
      <c r="AN292" s="570"/>
      <c r="AO292" s="570"/>
      <c r="AP292" s="570"/>
      <c r="AQ292" s="570"/>
      <c r="AR292" s="570"/>
      <c r="AS292" s="570"/>
      <c r="AT292" s="570"/>
      <c r="AU292" s="570"/>
    </row>
    <row r="293" spans="1:47" ht="15.75" customHeight="1">
      <c r="A293" s="575">
        <v>44280</v>
      </c>
      <c r="B293" s="576" t="s">
        <v>6351</v>
      </c>
      <c r="C293" s="405" t="s">
        <v>2929</v>
      </c>
      <c r="D293" s="561" t="s">
        <v>6343</v>
      </c>
      <c r="E293" s="573">
        <v>15000</v>
      </c>
      <c r="F293" s="561" t="s">
        <v>3235</v>
      </c>
      <c r="G293" s="571" t="s">
        <v>2931</v>
      </c>
      <c r="H293" s="571" t="s">
        <v>20</v>
      </c>
      <c r="I293" s="571" t="s">
        <v>2932</v>
      </c>
      <c r="J293" s="571">
        <v>43605</v>
      </c>
      <c r="K293" s="574" t="s">
        <v>3813</v>
      </c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70"/>
      <c r="AH293" s="570"/>
      <c r="AI293" s="570"/>
      <c r="AJ293" s="570"/>
      <c r="AK293" s="570"/>
      <c r="AL293" s="570"/>
      <c r="AM293" s="570"/>
      <c r="AN293" s="570"/>
      <c r="AO293" s="570"/>
      <c r="AP293" s="570"/>
      <c r="AQ293" s="570"/>
      <c r="AR293" s="570"/>
      <c r="AS293" s="570"/>
      <c r="AT293" s="570"/>
      <c r="AU293" s="570"/>
    </row>
    <row r="294" spans="1:47" ht="15.75" customHeight="1">
      <c r="A294" s="575">
        <v>44280</v>
      </c>
      <c r="B294" s="576" t="s">
        <v>6349</v>
      </c>
      <c r="C294" s="405" t="s">
        <v>2929</v>
      </c>
      <c r="D294" s="561" t="s">
        <v>6343</v>
      </c>
      <c r="E294" s="573">
        <v>20000</v>
      </c>
      <c r="F294" s="561" t="s">
        <v>3198</v>
      </c>
      <c r="G294" s="571" t="s">
        <v>2931</v>
      </c>
      <c r="H294" s="571" t="s">
        <v>20</v>
      </c>
      <c r="I294" s="571" t="s">
        <v>2932</v>
      </c>
      <c r="J294" s="571">
        <v>43703</v>
      </c>
      <c r="K294" s="574" t="s">
        <v>4196</v>
      </c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70"/>
      <c r="AH294" s="570"/>
      <c r="AI294" s="570"/>
      <c r="AJ294" s="570"/>
      <c r="AK294" s="570"/>
      <c r="AL294" s="570"/>
      <c r="AM294" s="570"/>
      <c r="AN294" s="570"/>
      <c r="AO294" s="570"/>
      <c r="AP294" s="570"/>
      <c r="AQ294" s="570"/>
      <c r="AR294" s="570"/>
      <c r="AS294" s="570"/>
      <c r="AT294" s="570"/>
      <c r="AU294" s="570"/>
    </row>
    <row r="295" spans="1:47" ht="15.75" customHeight="1">
      <c r="A295" s="571">
        <v>44281</v>
      </c>
      <c r="B295" s="572" t="s">
        <v>6439</v>
      </c>
      <c r="C295" s="561" t="s">
        <v>3793</v>
      </c>
      <c r="D295" s="561" t="s">
        <v>956</v>
      </c>
      <c r="E295" s="573">
        <v>0</v>
      </c>
      <c r="F295" s="561" t="s">
        <v>4336</v>
      </c>
      <c r="G295" s="561" t="s">
        <v>46</v>
      </c>
      <c r="H295" s="561" t="s">
        <v>20</v>
      </c>
      <c r="I295" s="561" t="s">
        <v>3640</v>
      </c>
      <c r="J295" s="571">
        <v>44126</v>
      </c>
      <c r="K295" s="577" t="s">
        <v>3803</v>
      </c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70"/>
      <c r="AH295" s="570"/>
      <c r="AI295" s="570"/>
      <c r="AJ295" s="570"/>
      <c r="AK295" s="570"/>
      <c r="AL295" s="570"/>
      <c r="AM295" s="570"/>
      <c r="AN295" s="570"/>
      <c r="AO295" s="570"/>
      <c r="AP295" s="570"/>
      <c r="AQ295" s="570"/>
      <c r="AR295" s="570"/>
      <c r="AS295" s="570"/>
      <c r="AT295" s="570"/>
      <c r="AU295" s="570"/>
    </row>
    <row r="296" spans="1:47" ht="15.75" customHeight="1">
      <c r="A296" s="571">
        <v>44281</v>
      </c>
      <c r="B296" s="572" t="s">
        <v>6440</v>
      </c>
      <c r="C296" s="561" t="s">
        <v>2929</v>
      </c>
      <c r="D296" s="561" t="s">
        <v>956</v>
      </c>
      <c r="E296" s="573"/>
      <c r="F296" s="561" t="s">
        <v>3384</v>
      </c>
      <c r="G296" s="571" t="s">
        <v>19</v>
      </c>
      <c r="H296" s="571" t="s">
        <v>35</v>
      </c>
      <c r="I296" s="571" t="s">
        <v>2979</v>
      </c>
      <c r="J296" s="571">
        <v>44280</v>
      </c>
      <c r="K296" s="574" t="s">
        <v>3813</v>
      </c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70"/>
      <c r="AH296" s="570"/>
      <c r="AI296" s="570"/>
      <c r="AJ296" s="570"/>
      <c r="AK296" s="570"/>
      <c r="AL296" s="570"/>
      <c r="AM296" s="570"/>
      <c r="AN296" s="570"/>
      <c r="AO296" s="570"/>
      <c r="AP296" s="570"/>
      <c r="AQ296" s="570"/>
      <c r="AR296" s="570"/>
      <c r="AS296" s="570"/>
      <c r="AT296" s="570"/>
      <c r="AU296" s="570"/>
    </row>
    <row r="297" spans="1:47" ht="15.75" customHeight="1">
      <c r="A297" s="575">
        <v>44285</v>
      </c>
      <c r="B297" s="576" t="s">
        <v>6441</v>
      </c>
      <c r="C297" s="405" t="s">
        <v>2929</v>
      </c>
      <c r="D297" s="561" t="s">
        <v>921</v>
      </c>
      <c r="E297" s="573">
        <v>200000</v>
      </c>
      <c r="F297" s="561" t="s">
        <v>3468</v>
      </c>
      <c r="G297" s="571" t="s">
        <v>2931</v>
      </c>
      <c r="H297" s="571" t="s">
        <v>20</v>
      </c>
      <c r="I297" s="571" t="s">
        <v>2938</v>
      </c>
      <c r="J297" s="571">
        <v>43861</v>
      </c>
      <c r="K297" s="574" t="s">
        <v>3813</v>
      </c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70"/>
      <c r="AH297" s="570"/>
      <c r="AI297" s="570"/>
      <c r="AJ297" s="570"/>
      <c r="AK297" s="570"/>
      <c r="AL297" s="570"/>
      <c r="AM297" s="570"/>
      <c r="AN297" s="570"/>
      <c r="AO297" s="570"/>
      <c r="AP297" s="570"/>
      <c r="AQ297" s="570"/>
      <c r="AR297" s="570"/>
      <c r="AS297" s="570"/>
      <c r="AT297" s="570"/>
      <c r="AU297" s="570"/>
    </row>
    <row r="298" spans="1:47" ht="15.75" customHeight="1">
      <c r="A298" s="575">
        <v>44286</v>
      </c>
      <c r="B298" s="576" t="s">
        <v>6442</v>
      </c>
      <c r="C298" s="405" t="s">
        <v>3793</v>
      </c>
      <c r="D298" s="561" t="s">
        <v>6343</v>
      </c>
      <c r="E298" s="573">
        <v>328583.39</v>
      </c>
      <c r="F298" s="561" t="s">
        <v>5398</v>
      </c>
      <c r="G298" s="561" t="s">
        <v>46</v>
      </c>
      <c r="H298" s="561" t="s">
        <v>20</v>
      </c>
      <c r="I298" s="561" t="s">
        <v>56</v>
      </c>
      <c r="J298" s="591">
        <v>44134</v>
      </c>
      <c r="K298" s="577" t="s">
        <v>3797</v>
      </c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70"/>
      <c r="AH298" s="570"/>
      <c r="AI298" s="570"/>
      <c r="AJ298" s="570"/>
      <c r="AK298" s="570"/>
      <c r="AL298" s="570"/>
      <c r="AM298" s="570"/>
      <c r="AN298" s="570"/>
      <c r="AO298" s="570"/>
      <c r="AP298" s="570"/>
      <c r="AQ298" s="570"/>
      <c r="AR298" s="570"/>
      <c r="AS298" s="570"/>
      <c r="AT298" s="570"/>
      <c r="AU298" s="570"/>
    </row>
    <row r="299" spans="1:47" ht="15.75" customHeight="1">
      <c r="A299" s="571">
        <v>44287</v>
      </c>
      <c r="B299" s="572" t="s">
        <v>6434</v>
      </c>
      <c r="C299" s="561" t="s">
        <v>2929</v>
      </c>
      <c r="D299" s="561" t="s">
        <v>956</v>
      </c>
      <c r="E299" s="573">
        <v>222801.29</v>
      </c>
      <c r="F299" s="561" t="s">
        <v>3411</v>
      </c>
      <c r="G299" s="571" t="s">
        <v>2931</v>
      </c>
      <c r="H299" s="571" t="s">
        <v>20</v>
      </c>
      <c r="I299" s="571" t="s">
        <v>2938</v>
      </c>
      <c r="J299" s="571">
        <v>43531</v>
      </c>
      <c r="K299" s="574" t="s">
        <v>4196</v>
      </c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70"/>
      <c r="AH299" s="570"/>
      <c r="AI299" s="570"/>
      <c r="AJ299" s="570"/>
      <c r="AK299" s="570"/>
      <c r="AL299" s="570"/>
      <c r="AM299" s="570"/>
      <c r="AN299" s="570"/>
      <c r="AO299" s="570"/>
      <c r="AP299" s="570"/>
      <c r="AQ299" s="570"/>
      <c r="AR299" s="570"/>
      <c r="AS299" s="570"/>
      <c r="AT299" s="570"/>
      <c r="AU299" s="570"/>
    </row>
    <row r="300" spans="1:47" ht="15.75" customHeight="1">
      <c r="A300" s="571">
        <v>44287</v>
      </c>
      <c r="B300" s="572" t="s">
        <v>6443</v>
      </c>
      <c r="C300" s="561" t="s">
        <v>2929</v>
      </c>
      <c r="D300" s="561" t="s">
        <v>956</v>
      </c>
      <c r="E300" s="573"/>
      <c r="F300" s="561" t="s">
        <v>3411</v>
      </c>
      <c r="G300" s="571" t="s">
        <v>2931</v>
      </c>
      <c r="H300" s="571" t="s">
        <v>20</v>
      </c>
      <c r="I300" s="571" t="s">
        <v>2938</v>
      </c>
      <c r="J300" s="571">
        <v>43566</v>
      </c>
      <c r="K300" s="574" t="s">
        <v>3813</v>
      </c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70"/>
      <c r="AH300" s="570"/>
      <c r="AI300" s="570"/>
      <c r="AJ300" s="570"/>
      <c r="AK300" s="570"/>
      <c r="AL300" s="570"/>
      <c r="AM300" s="570"/>
      <c r="AN300" s="570"/>
      <c r="AO300" s="570"/>
      <c r="AP300" s="570"/>
      <c r="AQ300" s="570"/>
      <c r="AR300" s="570"/>
      <c r="AS300" s="570"/>
      <c r="AT300" s="570"/>
      <c r="AU300" s="570"/>
    </row>
    <row r="301" spans="1:47" ht="15.75" customHeight="1">
      <c r="A301" s="575">
        <v>44287</v>
      </c>
      <c r="B301" s="576" t="s">
        <v>6444</v>
      </c>
      <c r="C301" s="405" t="s">
        <v>3793</v>
      </c>
      <c r="D301" s="561" t="s">
        <v>6343</v>
      </c>
      <c r="E301" s="573">
        <v>95592.52</v>
      </c>
      <c r="F301" s="561" t="s">
        <v>5095</v>
      </c>
      <c r="G301" s="561" t="s">
        <v>46</v>
      </c>
      <c r="H301" s="561" t="s">
        <v>20</v>
      </c>
      <c r="I301" s="561" t="s">
        <v>6431</v>
      </c>
      <c r="J301" s="591">
        <v>44180</v>
      </c>
      <c r="K301" s="577" t="s">
        <v>3803</v>
      </c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70"/>
      <c r="AH301" s="570"/>
      <c r="AI301" s="570"/>
      <c r="AJ301" s="570"/>
      <c r="AK301" s="570"/>
      <c r="AL301" s="570"/>
      <c r="AM301" s="570"/>
      <c r="AN301" s="570"/>
      <c r="AO301" s="570"/>
      <c r="AP301" s="570"/>
      <c r="AQ301" s="570"/>
      <c r="AR301" s="570"/>
      <c r="AS301" s="570"/>
      <c r="AT301" s="570"/>
      <c r="AU301" s="570"/>
    </row>
    <row r="302" spans="1:47" ht="15.75" customHeight="1">
      <c r="A302" s="571">
        <v>44291</v>
      </c>
      <c r="B302" s="572" t="s">
        <v>6445</v>
      </c>
      <c r="C302" s="561" t="s">
        <v>3793</v>
      </c>
      <c r="D302" s="561" t="s">
        <v>956</v>
      </c>
      <c r="E302" s="573">
        <v>0</v>
      </c>
      <c r="F302" s="561" t="s">
        <v>5332</v>
      </c>
      <c r="G302" s="561" t="s">
        <v>46</v>
      </c>
      <c r="H302" s="561" t="s">
        <v>20</v>
      </c>
      <c r="I302" s="561" t="s">
        <v>3861</v>
      </c>
      <c r="J302" s="571">
        <v>44215</v>
      </c>
      <c r="K302" s="577" t="s">
        <v>3797</v>
      </c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70"/>
      <c r="AH302" s="570"/>
      <c r="AI302" s="570"/>
      <c r="AJ302" s="570"/>
      <c r="AK302" s="570"/>
      <c r="AL302" s="570"/>
      <c r="AM302" s="570"/>
      <c r="AN302" s="570"/>
      <c r="AO302" s="570"/>
      <c r="AP302" s="570"/>
      <c r="AQ302" s="570"/>
      <c r="AR302" s="570"/>
      <c r="AS302" s="570"/>
      <c r="AT302" s="570"/>
      <c r="AU302" s="570"/>
    </row>
    <row r="303" spans="1:47" ht="15.75" customHeight="1">
      <c r="A303" s="575">
        <v>44291</v>
      </c>
      <c r="B303" s="576" t="s">
        <v>6357</v>
      </c>
      <c r="C303" s="405" t="s">
        <v>2929</v>
      </c>
      <c r="D303" s="561" t="s">
        <v>6343</v>
      </c>
      <c r="E303" s="573">
        <v>3500</v>
      </c>
      <c r="F303" s="561" t="s">
        <v>3243</v>
      </c>
      <c r="G303" s="571" t="s">
        <v>2931</v>
      </c>
      <c r="H303" s="571" t="s">
        <v>20</v>
      </c>
      <c r="I303" s="571" t="s">
        <v>2938</v>
      </c>
      <c r="J303" s="571">
        <v>43559</v>
      </c>
      <c r="K303" s="574" t="s">
        <v>4196</v>
      </c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70"/>
      <c r="AH303" s="570"/>
      <c r="AI303" s="570"/>
      <c r="AJ303" s="570"/>
      <c r="AK303" s="570"/>
      <c r="AL303" s="570"/>
      <c r="AM303" s="570"/>
      <c r="AN303" s="570"/>
      <c r="AO303" s="570"/>
      <c r="AP303" s="570"/>
      <c r="AQ303" s="570"/>
      <c r="AR303" s="570"/>
      <c r="AS303" s="570"/>
      <c r="AT303" s="570"/>
      <c r="AU303" s="570"/>
    </row>
    <row r="304" spans="1:47" ht="15.75" customHeight="1">
      <c r="A304" s="575">
        <v>44291</v>
      </c>
      <c r="B304" s="576" t="s">
        <v>6445</v>
      </c>
      <c r="C304" s="405" t="s">
        <v>3793</v>
      </c>
      <c r="D304" s="561" t="s">
        <v>921</v>
      </c>
      <c r="E304" s="573">
        <v>6000</v>
      </c>
      <c r="F304" s="561" t="s">
        <v>5332</v>
      </c>
      <c r="G304" s="561" t="s">
        <v>46</v>
      </c>
      <c r="H304" s="561" t="s">
        <v>20</v>
      </c>
      <c r="I304" s="561" t="s">
        <v>3861</v>
      </c>
      <c r="J304" s="571">
        <v>44215</v>
      </c>
      <c r="K304" s="577" t="s">
        <v>3797</v>
      </c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70"/>
      <c r="AH304" s="570"/>
      <c r="AI304" s="570"/>
      <c r="AJ304" s="570"/>
      <c r="AK304" s="570"/>
      <c r="AL304" s="570"/>
      <c r="AM304" s="570"/>
      <c r="AN304" s="570"/>
      <c r="AO304" s="570"/>
      <c r="AP304" s="570"/>
      <c r="AQ304" s="570"/>
      <c r="AR304" s="570"/>
      <c r="AS304" s="570"/>
      <c r="AT304" s="570"/>
      <c r="AU304" s="570"/>
    </row>
    <row r="305" spans="1:47" ht="15.75" customHeight="1">
      <c r="A305" s="575">
        <v>44292</v>
      </c>
      <c r="B305" s="576" t="s">
        <v>6349</v>
      </c>
      <c r="C305" s="405" t="s">
        <v>2929</v>
      </c>
      <c r="D305" s="561" t="s">
        <v>6343</v>
      </c>
      <c r="E305" s="573">
        <v>50000</v>
      </c>
      <c r="F305" s="561" t="s">
        <v>3198</v>
      </c>
      <c r="G305" s="571" t="s">
        <v>2931</v>
      </c>
      <c r="H305" s="571" t="s">
        <v>20</v>
      </c>
      <c r="I305" s="571" t="s">
        <v>2932</v>
      </c>
      <c r="J305" s="571">
        <v>43703</v>
      </c>
      <c r="K305" s="574" t="s">
        <v>4196</v>
      </c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70"/>
      <c r="AH305" s="570"/>
      <c r="AI305" s="570"/>
      <c r="AJ305" s="570"/>
      <c r="AK305" s="570"/>
      <c r="AL305" s="570"/>
      <c r="AM305" s="570"/>
      <c r="AN305" s="570"/>
      <c r="AO305" s="570"/>
      <c r="AP305" s="570"/>
      <c r="AQ305" s="570"/>
      <c r="AR305" s="570"/>
      <c r="AS305" s="570"/>
      <c r="AT305" s="570"/>
      <c r="AU305" s="570"/>
    </row>
    <row r="306" spans="1:47" ht="15.75" customHeight="1">
      <c r="A306" s="575">
        <v>44293</v>
      </c>
      <c r="B306" s="576" t="s">
        <v>6446</v>
      </c>
      <c r="C306" s="405" t="s">
        <v>3793</v>
      </c>
      <c r="D306" s="561" t="s">
        <v>6343</v>
      </c>
      <c r="E306" s="573">
        <v>200000</v>
      </c>
      <c r="F306" s="561" t="s">
        <v>5341</v>
      </c>
      <c r="G306" s="561" t="s">
        <v>46</v>
      </c>
      <c r="H306" s="561" t="s">
        <v>20</v>
      </c>
      <c r="I306" s="553" t="s">
        <v>4066</v>
      </c>
      <c r="J306" s="571">
        <v>44203</v>
      </c>
      <c r="K306" s="577" t="s">
        <v>3803</v>
      </c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70"/>
      <c r="AH306" s="570"/>
      <c r="AI306" s="570"/>
      <c r="AJ306" s="570"/>
      <c r="AK306" s="570"/>
      <c r="AL306" s="570"/>
      <c r="AM306" s="570"/>
      <c r="AN306" s="570"/>
      <c r="AO306" s="570"/>
      <c r="AP306" s="570"/>
      <c r="AQ306" s="570"/>
      <c r="AR306" s="570"/>
      <c r="AS306" s="570"/>
      <c r="AT306" s="570"/>
      <c r="AU306" s="570"/>
    </row>
    <row r="307" spans="1:47" ht="15.75" customHeight="1">
      <c r="A307" s="575">
        <v>44293</v>
      </c>
      <c r="B307" s="576" t="s">
        <v>6447</v>
      </c>
      <c r="C307" s="405" t="s">
        <v>3793</v>
      </c>
      <c r="D307" s="561" t="s">
        <v>6343</v>
      </c>
      <c r="E307" s="573">
        <v>7000</v>
      </c>
      <c r="F307" s="561" t="s">
        <v>1351</v>
      </c>
      <c r="G307" s="561" t="s">
        <v>19</v>
      </c>
      <c r="H307" s="561" t="s">
        <v>20</v>
      </c>
      <c r="I307" s="561" t="s">
        <v>21</v>
      </c>
      <c r="J307" s="571">
        <v>44218</v>
      </c>
      <c r="K307" s="577" t="s">
        <v>3803</v>
      </c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70"/>
      <c r="AH307" s="570"/>
      <c r="AI307" s="570"/>
      <c r="AJ307" s="570"/>
      <c r="AK307" s="570"/>
      <c r="AL307" s="570"/>
      <c r="AM307" s="570"/>
      <c r="AN307" s="570"/>
      <c r="AO307" s="570"/>
      <c r="AP307" s="570"/>
      <c r="AQ307" s="570"/>
      <c r="AR307" s="570"/>
      <c r="AS307" s="570"/>
      <c r="AT307" s="570"/>
      <c r="AU307" s="570"/>
    </row>
    <row r="308" spans="1:47" ht="15.75" customHeight="1">
      <c r="A308" s="571">
        <v>44295</v>
      </c>
      <c r="B308" s="572" t="s">
        <v>6448</v>
      </c>
      <c r="C308" s="561" t="s">
        <v>3793</v>
      </c>
      <c r="D308" s="561" t="s">
        <v>956</v>
      </c>
      <c r="E308" s="573">
        <v>0</v>
      </c>
      <c r="F308" s="561" t="s">
        <v>4052</v>
      </c>
      <c r="G308" s="561" t="s">
        <v>46</v>
      </c>
      <c r="H308" s="561" t="s">
        <v>20</v>
      </c>
      <c r="I308" s="561" t="s">
        <v>3640</v>
      </c>
      <c r="J308" s="571">
        <v>44165</v>
      </c>
      <c r="K308" s="577" t="s">
        <v>3803</v>
      </c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70"/>
      <c r="AH308" s="570"/>
      <c r="AI308" s="570"/>
      <c r="AJ308" s="570"/>
      <c r="AK308" s="570"/>
      <c r="AL308" s="570"/>
      <c r="AM308" s="570"/>
      <c r="AN308" s="570"/>
      <c r="AO308" s="570"/>
      <c r="AP308" s="570"/>
      <c r="AQ308" s="570"/>
      <c r="AR308" s="570"/>
      <c r="AS308" s="570"/>
      <c r="AT308" s="570"/>
      <c r="AU308" s="570"/>
    </row>
    <row r="309" spans="1:47" ht="15.75" customHeight="1">
      <c r="A309" s="575">
        <v>44299</v>
      </c>
      <c r="B309" s="576" t="s">
        <v>6449</v>
      </c>
      <c r="C309" s="405" t="s">
        <v>3793</v>
      </c>
      <c r="D309" s="561" t="s">
        <v>921</v>
      </c>
      <c r="E309" s="573">
        <v>299695.62</v>
      </c>
      <c r="F309" s="561" t="s">
        <v>4365</v>
      </c>
      <c r="G309" s="561" t="s">
        <v>46</v>
      </c>
      <c r="H309" s="561" t="s">
        <v>20</v>
      </c>
      <c r="I309" s="561" t="s">
        <v>56</v>
      </c>
      <c r="J309" s="571">
        <v>44195</v>
      </c>
      <c r="K309" s="577" t="s">
        <v>3813</v>
      </c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70"/>
      <c r="AH309" s="570"/>
      <c r="AI309" s="570"/>
      <c r="AJ309" s="570"/>
      <c r="AK309" s="570"/>
      <c r="AL309" s="570"/>
      <c r="AM309" s="570"/>
      <c r="AN309" s="570"/>
      <c r="AO309" s="570"/>
      <c r="AP309" s="570"/>
      <c r="AQ309" s="570"/>
      <c r="AR309" s="570"/>
      <c r="AS309" s="570"/>
      <c r="AT309" s="570"/>
      <c r="AU309" s="570"/>
    </row>
    <row r="310" spans="1:47" ht="15.75" customHeight="1">
      <c r="A310" s="575">
        <v>44299</v>
      </c>
      <c r="B310" s="576" t="s">
        <v>6345</v>
      </c>
      <c r="C310" s="405" t="s">
        <v>3793</v>
      </c>
      <c r="D310" s="561" t="s">
        <v>921</v>
      </c>
      <c r="E310" s="573">
        <v>203869.45</v>
      </c>
      <c r="F310" s="561" t="s">
        <v>5056</v>
      </c>
      <c r="G310" s="561" t="s">
        <v>2931</v>
      </c>
      <c r="H310" s="561" t="s">
        <v>20</v>
      </c>
      <c r="I310" s="561" t="s">
        <v>2931</v>
      </c>
      <c r="J310" s="571">
        <v>43749</v>
      </c>
      <c r="K310" s="577" t="s">
        <v>4196</v>
      </c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70"/>
      <c r="AH310" s="570"/>
      <c r="AI310" s="570"/>
      <c r="AJ310" s="570"/>
      <c r="AK310" s="570"/>
      <c r="AL310" s="570"/>
      <c r="AM310" s="570"/>
      <c r="AN310" s="570"/>
      <c r="AO310" s="570"/>
      <c r="AP310" s="570"/>
      <c r="AQ310" s="570"/>
      <c r="AR310" s="570"/>
      <c r="AS310" s="570"/>
      <c r="AT310" s="570"/>
      <c r="AU310" s="570"/>
    </row>
    <row r="311" spans="1:47" ht="15.75" customHeight="1">
      <c r="A311" s="575">
        <v>44302</v>
      </c>
      <c r="B311" s="576" t="s">
        <v>6349</v>
      </c>
      <c r="C311" s="405" t="s">
        <v>2929</v>
      </c>
      <c r="D311" s="561" t="s">
        <v>6343</v>
      </c>
      <c r="E311" s="573">
        <v>1000</v>
      </c>
      <c r="F311" s="561" t="s">
        <v>3198</v>
      </c>
      <c r="G311" s="571" t="s">
        <v>2931</v>
      </c>
      <c r="H311" s="571" t="s">
        <v>20</v>
      </c>
      <c r="I311" s="571" t="s">
        <v>2932</v>
      </c>
      <c r="J311" s="571">
        <v>43703</v>
      </c>
      <c r="K311" s="574" t="s">
        <v>4196</v>
      </c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70"/>
      <c r="AH311" s="570"/>
      <c r="AI311" s="570"/>
      <c r="AJ311" s="570"/>
      <c r="AK311" s="570"/>
      <c r="AL311" s="570"/>
      <c r="AM311" s="570"/>
      <c r="AN311" s="570"/>
      <c r="AO311" s="570"/>
      <c r="AP311" s="570"/>
      <c r="AQ311" s="570"/>
      <c r="AR311" s="570"/>
      <c r="AS311" s="570"/>
      <c r="AT311" s="570"/>
      <c r="AU311" s="570"/>
    </row>
    <row r="312" spans="1:47" ht="15.75" customHeight="1">
      <c r="A312" s="575">
        <v>44302</v>
      </c>
      <c r="B312" s="576" t="s">
        <v>6364</v>
      </c>
      <c r="C312" s="405" t="s">
        <v>2929</v>
      </c>
      <c r="D312" s="561" t="s">
        <v>6343</v>
      </c>
      <c r="E312" s="573">
        <v>10000</v>
      </c>
      <c r="F312" s="561" t="s">
        <v>3516</v>
      </c>
      <c r="G312" s="571" t="s">
        <v>2931</v>
      </c>
      <c r="H312" s="571" t="s">
        <v>20</v>
      </c>
      <c r="I312" s="571" t="s">
        <v>2932</v>
      </c>
      <c r="J312" s="571">
        <v>43717</v>
      </c>
      <c r="K312" s="574" t="s">
        <v>4196</v>
      </c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70"/>
      <c r="AH312" s="570"/>
      <c r="AI312" s="570"/>
      <c r="AJ312" s="570"/>
      <c r="AK312" s="570"/>
      <c r="AL312" s="570"/>
      <c r="AM312" s="570"/>
      <c r="AN312" s="570"/>
      <c r="AO312" s="570"/>
      <c r="AP312" s="570"/>
      <c r="AQ312" s="570"/>
      <c r="AR312" s="570"/>
      <c r="AS312" s="570"/>
      <c r="AT312" s="570"/>
      <c r="AU312" s="570"/>
    </row>
    <row r="313" spans="1:47" ht="15.75" customHeight="1">
      <c r="A313" s="571">
        <v>44305</v>
      </c>
      <c r="B313" s="572" t="s">
        <v>6345</v>
      </c>
      <c r="C313" s="561" t="s">
        <v>3793</v>
      </c>
      <c r="D313" s="561" t="s">
        <v>956</v>
      </c>
      <c r="E313" s="573">
        <v>0</v>
      </c>
      <c r="F313" s="561" t="s">
        <v>5056</v>
      </c>
      <c r="G313" s="561" t="s">
        <v>2931</v>
      </c>
      <c r="H313" s="561" t="s">
        <v>20</v>
      </c>
      <c r="I313" s="561" t="s">
        <v>2931</v>
      </c>
      <c r="J313" s="571">
        <v>43749</v>
      </c>
      <c r="K313" s="577" t="s">
        <v>4196</v>
      </c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70"/>
      <c r="AH313" s="570"/>
      <c r="AI313" s="570"/>
      <c r="AJ313" s="570"/>
      <c r="AK313" s="570"/>
      <c r="AL313" s="570"/>
      <c r="AM313" s="570"/>
      <c r="AN313" s="570"/>
      <c r="AO313" s="570"/>
      <c r="AP313" s="570"/>
      <c r="AQ313" s="570"/>
      <c r="AR313" s="570"/>
      <c r="AS313" s="570"/>
      <c r="AT313" s="570"/>
      <c r="AU313" s="570"/>
    </row>
    <row r="314" spans="1:47" ht="15.75" customHeight="1">
      <c r="A314" s="571">
        <v>44305</v>
      </c>
      <c r="B314" s="572" t="s">
        <v>6362</v>
      </c>
      <c r="C314" s="561" t="s">
        <v>3793</v>
      </c>
      <c r="D314" s="561" t="s">
        <v>956</v>
      </c>
      <c r="E314" s="573">
        <v>0</v>
      </c>
      <c r="F314" s="561" t="s">
        <v>5119</v>
      </c>
      <c r="G314" s="561" t="s">
        <v>2931</v>
      </c>
      <c r="H314" s="561" t="s">
        <v>20</v>
      </c>
      <c r="I314" s="561" t="s">
        <v>2931</v>
      </c>
      <c r="J314" s="571">
        <v>44225</v>
      </c>
      <c r="K314" s="577" t="s">
        <v>3803</v>
      </c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70"/>
      <c r="AH314" s="570"/>
      <c r="AI314" s="570"/>
      <c r="AJ314" s="570"/>
      <c r="AK314" s="570"/>
      <c r="AL314" s="570"/>
      <c r="AM314" s="570"/>
      <c r="AN314" s="570"/>
      <c r="AO314" s="570"/>
      <c r="AP314" s="570"/>
      <c r="AQ314" s="570"/>
      <c r="AR314" s="570"/>
      <c r="AS314" s="570"/>
      <c r="AT314" s="570"/>
      <c r="AU314" s="570"/>
    </row>
    <row r="315" spans="1:47" ht="15.75" customHeight="1">
      <c r="A315" s="575">
        <v>44305</v>
      </c>
      <c r="B315" s="576" t="s">
        <v>6419</v>
      </c>
      <c r="C315" s="405" t="s">
        <v>2929</v>
      </c>
      <c r="D315" s="561" t="s">
        <v>6343</v>
      </c>
      <c r="E315" s="573">
        <v>29853.439999999999</v>
      </c>
      <c r="F315" s="561" t="s">
        <v>3540</v>
      </c>
      <c r="G315" s="571" t="s">
        <v>2931</v>
      </c>
      <c r="H315" s="571" t="s">
        <v>20</v>
      </c>
      <c r="I315" s="571" t="s">
        <v>2938</v>
      </c>
      <c r="J315" s="571">
        <v>43822</v>
      </c>
      <c r="K315" s="574" t="s">
        <v>3813</v>
      </c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70"/>
      <c r="AH315" s="570"/>
      <c r="AI315" s="570"/>
      <c r="AJ315" s="570"/>
      <c r="AK315" s="570"/>
      <c r="AL315" s="570"/>
      <c r="AM315" s="570"/>
      <c r="AN315" s="570"/>
      <c r="AO315" s="570"/>
      <c r="AP315" s="570"/>
      <c r="AQ315" s="570"/>
      <c r="AR315" s="570"/>
      <c r="AS315" s="570"/>
      <c r="AT315" s="570"/>
      <c r="AU315" s="570"/>
    </row>
    <row r="316" spans="1:47" ht="15.75" customHeight="1">
      <c r="A316" s="575">
        <v>44305</v>
      </c>
      <c r="B316" s="576" t="s">
        <v>6450</v>
      </c>
      <c r="C316" s="405" t="s">
        <v>2929</v>
      </c>
      <c r="D316" s="561" t="s">
        <v>6343</v>
      </c>
      <c r="E316" s="573">
        <v>3500</v>
      </c>
      <c r="F316" s="561" t="s">
        <v>3559</v>
      </c>
      <c r="G316" s="571" t="s">
        <v>19</v>
      </c>
      <c r="H316" s="571" t="s">
        <v>35</v>
      </c>
      <c r="I316" s="571" t="s">
        <v>250</v>
      </c>
      <c r="J316" s="571">
        <v>44273</v>
      </c>
      <c r="K316" s="574" t="s">
        <v>3803</v>
      </c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0"/>
      <c r="AP316" s="570"/>
      <c r="AQ316" s="570"/>
      <c r="AR316" s="570"/>
      <c r="AS316" s="570"/>
      <c r="AT316" s="570"/>
      <c r="AU316" s="570"/>
    </row>
    <row r="317" spans="1:47" ht="15.75" customHeight="1">
      <c r="A317" s="575">
        <v>44308</v>
      </c>
      <c r="B317" s="576" t="s">
        <v>6357</v>
      </c>
      <c r="C317" s="405" t="s">
        <v>2929</v>
      </c>
      <c r="D317" s="561" t="s">
        <v>6343</v>
      </c>
      <c r="E317" s="573">
        <v>193917.59</v>
      </c>
      <c r="F317" s="561" t="s">
        <v>3243</v>
      </c>
      <c r="G317" s="571" t="s">
        <v>2931</v>
      </c>
      <c r="H317" s="571" t="s">
        <v>20</v>
      </c>
      <c r="I317" s="571" t="s">
        <v>2938</v>
      </c>
      <c r="J317" s="571">
        <v>43559</v>
      </c>
      <c r="K317" s="574" t="s">
        <v>4196</v>
      </c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70"/>
      <c r="AH317" s="570"/>
      <c r="AI317" s="570"/>
      <c r="AJ317" s="570"/>
      <c r="AK317" s="570"/>
      <c r="AL317" s="570"/>
      <c r="AM317" s="570"/>
      <c r="AN317" s="570"/>
      <c r="AO317" s="570"/>
      <c r="AP317" s="570"/>
      <c r="AQ317" s="570"/>
      <c r="AR317" s="570"/>
      <c r="AS317" s="570"/>
      <c r="AT317" s="570"/>
      <c r="AU317" s="570"/>
    </row>
    <row r="318" spans="1:47" ht="15.75" customHeight="1">
      <c r="A318" s="575">
        <v>44308</v>
      </c>
      <c r="B318" s="576" t="s">
        <v>6451</v>
      </c>
      <c r="C318" s="405" t="s">
        <v>2929</v>
      </c>
      <c r="D318" s="561" t="s">
        <v>6343</v>
      </c>
      <c r="E318" s="573">
        <v>10000</v>
      </c>
      <c r="F318" s="561" t="s">
        <v>2937</v>
      </c>
      <c r="G318" s="571" t="s">
        <v>2931</v>
      </c>
      <c r="H318" s="571" t="s">
        <v>20</v>
      </c>
      <c r="I318" s="571" t="s">
        <v>2938</v>
      </c>
      <c r="J318" s="571">
        <v>43874</v>
      </c>
      <c r="K318" s="574" t="s">
        <v>3803</v>
      </c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70"/>
      <c r="AH318" s="570"/>
      <c r="AI318" s="570"/>
      <c r="AJ318" s="570"/>
      <c r="AK318" s="570"/>
      <c r="AL318" s="570"/>
      <c r="AM318" s="570"/>
      <c r="AN318" s="570"/>
      <c r="AO318" s="570"/>
      <c r="AP318" s="570"/>
      <c r="AQ318" s="570"/>
      <c r="AR318" s="570"/>
      <c r="AS318" s="570"/>
      <c r="AT318" s="570"/>
      <c r="AU318" s="570"/>
    </row>
    <row r="319" spans="1:47" ht="15.75" customHeight="1">
      <c r="A319" s="571">
        <v>44309</v>
      </c>
      <c r="B319" s="572" t="s">
        <v>6452</v>
      </c>
      <c r="C319" s="561" t="s">
        <v>2929</v>
      </c>
      <c r="D319" s="561" t="s">
        <v>956</v>
      </c>
      <c r="E319" s="573">
        <v>72.06</v>
      </c>
      <c r="F319" s="561" t="s">
        <v>2989</v>
      </c>
      <c r="G319" s="571" t="s">
        <v>2931</v>
      </c>
      <c r="H319" s="571" t="s">
        <v>20</v>
      </c>
      <c r="I319" s="571" t="s">
        <v>2938</v>
      </c>
      <c r="J319" s="571">
        <v>43685</v>
      </c>
      <c r="K319" s="574" t="s">
        <v>4196</v>
      </c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70"/>
      <c r="AH319" s="570"/>
      <c r="AI319" s="570"/>
      <c r="AJ319" s="570"/>
      <c r="AK319" s="570"/>
      <c r="AL319" s="570"/>
      <c r="AM319" s="570"/>
      <c r="AN319" s="570"/>
      <c r="AO319" s="570"/>
      <c r="AP319" s="570"/>
      <c r="AQ319" s="570"/>
      <c r="AR319" s="570"/>
      <c r="AS319" s="570"/>
      <c r="AT319" s="570"/>
      <c r="AU319" s="570"/>
    </row>
    <row r="320" spans="1:47" ht="15.75" customHeight="1">
      <c r="A320" s="571">
        <v>44309</v>
      </c>
      <c r="B320" s="572" t="s">
        <v>6453</v>
      </c>
      <c r="C320" s="561" t="s">
        <v>2929</v>
      </c>
      <c r="D320" s="561" t="s">
        <v>956</v>
      </c>
      <c r="E320" s="573">
        <v>295.22000000000003</v>
      </c>
      <c r="F320" s="561" t="s">
        <v>2999</v>
      </c>
      <c r="G320" s="571" t="s">
        <v>19</v>
      </c>
      <c r="H320" s="571" t="s">
        <v>20</v>
      </c>
      <c r="I320" s="571" t="s">
        <v>437</v>
      </c>
      <c r="J320" s="571">
        <v>43382</v>
      </c>
      <c r="K320" s="574" t="s">
        <v>3817</v>
      </c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70"/>
      <c r="AH320" s="570"/>
      <c r="AI320" s="570"/>
      <c r="AJ320" s="570"/>
      <c r="AK320" s="570"/>
      <c r="AL320" s="570"/>
      <c r="AM320" s="570"/>
      <c r="AN320" s="570"/>
      <c r="AO320" s="570"/>
      <c r="AP320" s="570"/>
      <c r="AQ320" s="570"/>
      <c r="AR320" s="570"/>
      <c r="AS320" s="570"/>
      <c r="AT320" s="570"/>
      <c r="AU320" s="570"/>
    </row>
    <row r="321" spans="1:47" ht="15.75" customHeight="1">
      <c r="A321" s="571">
        <v>44309</v>
      </c>
      <c r="B321" s="572" t="s">
        <v>6454</v>
      </c>
      <c r="C321" s="561" t="s">
        <v>2929</v>
      </c>
      <c r="D321" s="561" t="s">
        <v>956</v>
      </c>
      <c r="E321" s="573">
        <v>47.86</v>
      </c>
      <c r="F321" s="561" t="s">
        <v>3030</v>
      </c>
      <c r="G321" s="571" t="s">
        <v>2931</v>
      </c>
      <c r="H321" s="571" t="s">
        <v>20</v>
      </c>
      <c r="I321" s="571" t="s">
        <v>2932</v>
      </c>
      <c r="J321" s="571">
        <v>43665</v>
      </c>
      <c r="K321" s="574" t="s">
        <v>4196</v>
      </c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70"/>
      <c r="AH321" s="570"/>
      <c r="AI321" s="570"/>
      <c r="AJ321" s="570"/>
      <c r="AK321" s="570"/>
      <c r="AL321" s="570"/>
      <c r="AM321" s="570"/>
      <c r="AN321" s="570"/>
      <c r="AO321" s="570"/>
      <c r="AP321" s="570"/>
      <c r="AQ321" s="570"/>
      <c r="AR321" s="570"/>
      <c r="AS321" s="570"/>
      <c r="AT321" s="570"/>
      <c r="AU321" s="570"/>
    </row>
    <row r="322" spans="1:47" ht="15.75" customHeight="1">
      <c r="A322" s="571">
        <v>44309</v>
      </c>
      <c r="B322" s="572" t="s">
        <v>6428</v>
      </c>
      <c r="C322" s="561" t="s">
        <v>2929</v>
      </c>
      <c r="D322" s="561" t="s">
        <v>956</v>
      </c>
      <c r="E322" s="573"/>
      <c r="F322" s="561" t="s">
        <v>3254</v>
      </c>
      <c r="G322" s="571" t="s">
        <v>19</v>
      </c>
      <c r="H322" s="571" t="s">
        <v>20</v>
      </c>
      <c r="I322" s="571" t="s">
        <v>3080</v>
      </c>
      <c r="J322" s="571">
        <v>43515</v>
      </c>
      <c r="K322" s="574" t="s">
        <v>3817</v>
      </c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70"/>
      <c r="AH322" s="570"/>
      <c r="AI322" s="570"/>
      <c r="AJ322" s="570"/>
      <c r="AK322" s="570"/>
      <c r="AL322" s="570"/>
      <c r="AM322" s="570"/>
      <c r="AN322" s="570"/>
      <c r="AO322" s="570"/>
      <c r="AP322" s="570"/>
      <c r="AQ322" s="570"/>
      <c r="AR322" s="570"/>
      <c r="AS322" s="570"/>
      <c r="AT322" s="570"/>
      <c r="AU322" s="570"/>
    </row>
    <row r="323" spans="1:47" ht="15.75" customHeight="1">
      <c r="A323" s="571">
        <v>44309</v>
      </c>
      <c r="B323" s="572" t="s">
        <v>6356</v>
      </c>
      <c r="C323" s="561" t="s">
        <v>2929</v>
      </c>
      <c r="D323" s="561" t="s">
        <v>956</v>
      </c>
      <c r="E323" s="573">
        <v>4170.42</v>
      </c>
      <c r="F323" s="561" t="s">
        <v>3261</v>
      </c>
      <c r="G323" s="571" t="s">
        <v>2931</v>
      </c>
      <c r="H323" s="571" t="s">
        <v>20</v>
      </c>
      <c r="I323" s="571" t="s">
        <v>2938</v>
      </c>
      <c r="J323" s="571">
        <v>43664</v>
      </c>
      <c r="K323" s="574" t="s">
        <v>4196</v>
      </c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70"/>
      <c r="AH323" s="570"/>
      <c r="AI323" s="570"/>
      <c r="AJ323" s="570"/>
      <c r="AK323" s="570"/>
      <c r="AL323" s="570"/>
      <c r="AM323" s="570"/>
      <c r="AN323" s="570"/>
      <c r="AO323" s="570"/>
      <c r="AP323" s="570"/>
      <c r="AQ323" s="570"/>
      <c r="AR323" s="570"/>
      <c r="AS323" s="570"/>
      <c r="AT323" s="570"/>
      <c r="AU323" s="570"/>
    </row>
    <row r="324" spans="1:47" ht="15.75" customHeight="1">
      <c r="A324" s="571">
        <v>44312</v>
      </c>
      <c r="B324" s="572" t="s">
        <v>6455</v>
      </c>
      <c r="C324" s="561" t="s">
        <v>2929</v>
      </c>
      <c r="D324" s="561" t="s">
        <v>956</v>
      </c>
      <c r="E324" s="573">
        <v>6.32</v>
      </c>
      <c r="F324" s="561" t="s">
        <v>3073</v>
      </c>
      <c r="G324" s="571" t="s">
        <v>2931</v>
      </c>
      <c r="H324" s="571" t="s">
        <v>20</v>
      </c>
      <c r="I324" s="571" t="s">
        <v>2932</v>
      </c>
      <c r="J324" s="571" t="s">
        <v>3644</v>
      </c>
      <c r="K324" s="574" t="s">
        <v>3803</v>
      </c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70"/>
      <c r="AH324" s="570"/>
      <c r="AI324" s="570"/>
      <c r="AJ324" s="570"/>
      <c r="AK324" s="570"/>
      <c r="AL324" s="570"/>
      <c r="AM324" s="570"/>
      <c r="AN324" s="570"/>
      <c r="AO324" s="570"/>
      <c r="AP324" s="570"/>
      <c r="AQ324" s="570"/>
      <c r="AR324" s="570"/>
      <c r="AS324" s="570"/>
      <c r="AT324" s="570"/>
      <c r="AU324" s="570"/>
    </row>
    <row r="325" spans="1:47" ht="15.75" customHeight="1">
      <c r="A325" s="571">
        <v>44312</v>
      </c>
      <c r="B325" s="572" t="s">
        <v>6342</v>
      </c>
      <c r="C325" s="561" t="s">
        <v>2929</v>
      </c>
      <c r="D325" s="561" t="s">
        <v>956</v>
      </c>
      <c r="E325" s="573">
        <v>242.83</v>
      </c>
      <c r="F325" s="561" t="s">
        <v>3475</v>
      </c>
      <c r="G325" s="571" t="s">
        <v>2931</v>
      </c>
      <c r="H325" s="571" t="s">
        <v>20</v>
      </c>
      <c r="I325" s="571" t="s">
        <v>2932</v>
      </c>
      <c r="J325" s="571">
        <v>43675</v>
      </c>
      <c r="K325" s="574" t="s">
        <v>4196</v>
      </c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70"/>
      <c r="AH325" s="570"/>
      <c r="AI325" s="570"/>
      <c r="AJ325" s="570"/>
      <c r="AK325" s="570"/>
      <c r="AL325" s="570"/>
      <c r="AM325" s="570"/>
      <c r="AN325" s="570"/>
      <c r="AO325" s="570"/>
      <c r="AP325" s="570"/>
      <c r="AQ325" s="570"/>
      <c r="AR325" s="570"/>
      <c r="AS325" s="570"/>
      <c r="AT325" s="570"/>
      <c r="AU325" s="570"/>
    </row>
    <row r="326" spans="1:47" ht="15.75" customHeight="1">
      <c r="A326" s="575">
        <v>44312</v>
      </c>
      <c r="B326" s="576" t="s">
        <v>6402</v>
      </c>
      <c r="C326" s="405" t="s">
        <v>2929</v>
      </c>
      <c r="D326" s="561" t="s">
        <v>921</v>
      </c>
      <c r="E326" s="573">
        <v>57000</v>
      </c>
      <c r="F326" s="561" t="s">
        <v>3380</v>
      </c>
      <c r="G326" s="571" t="s">
        <v>2931</v>
      </c>
      <c r="H326" s="571" t="s">
        <v>20</v>
      </c>
      <c r="I326" s="571" t="s">
        <v>2938</v>
      </c>
      <c r="J326" s="571">
        <v>43622</v>
      </c>
      <c r="K326" s="574" t="s">
        <v>3813</v>
      </c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70"/>
      <c r="AH326" s="570"/>
      <c r="AI326" s="570"/>
      <c r="AJ326" s="570"/>
      <c r="AK326" s="570"/>
      <c r="AL326" s="570"/>
      <c r="AM326" s="570"/>
      <c r="AN326" s="570"/>
      <c r="AO326" s="570"/>
      <c r="AP326" s="570"/>
      <c r="AQ326" s="570"/>
      <c r="AR326" s="570"/>
      <c r="AS326" s="570"/>
      <c r="AT326" s="570"/>
      <c r="AU326" s="570"/>
    </row>
    <row r="327" spans="1:47" ht="15.75" customHeight="1">
      <c r="A327" s="571">
        <v>44314</v>
      </c>
      <c r="B327" s="572" t="s">
        <v>6451</v>
      </c>
      <c r="C327" s="561" t="s">
        <v>2929</v>
      </c>
      <c r="D327" s="561" t="s">
        <v>956</v>
      </c>
      <c r="E327" s="573">
        <v>299695.62</v>
      </c>
      <c r="F327" s="561" t="s">
        <v>2937</v>
      </c>
      <c r="G327" s="571" t="s">
        <v>2931</v>
      </c>
      <c r="H327" s="571" t="s">
        <v>20</v>
      </c>
      <c r="I327" s="571" t="s">
        <v>2938</v>
      </c>
      <c r="J327" s="571">
        <v>43874</v>
      </c>
      <c r="K327" s="574" t="s">
        <v>3803</v>
      </c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70"/>
      <c r="AH327" s="570"/>
      <c r="AI327" s="570"/>
      <c r="AJ327" s="570"/>
      <c r="AK327" s="570"/>
      <c r="AL327" s="570"/>
      <c r="AM327" s="570"/>
      <c r="AN327" s="570"/>
      <c r="AO327" s="570"/>
      <c r="AP327" s="570"/>
      <c r="AQ327" s="570"/>
      <c r="AR327" s="570"/>
      <c r="AS327" s="570"/>
      <c r="AT327" s="570"/>
      <c r="AU327" s="570"/>
    </row>
    <row r="328" spans="1:47" ht="15.75" customHeight="1">
      <c r="A328" s="571">
        <v>44314</v>
      </c>
      <c r="B328" s="572" t="s">
        <v>6456</v>
      </c>
      <c r="C328" s="561" t="s">
        <v>2929</v>
      </c>
      <c r="D328" s="561" t="s">
        <v>956</v>
      </c>
      <c r="E328" s="573">
        <v>29853.439999999999</v>
      </c>
      <c r="F328" s="561" t="s">
        <v>3004</v>
      </c>
      <c r="G328" s="571" t="s">
        <v>2931</v>
      </c>
      <c r="H328" s="571" t="s">
        <v>20</v>
      </c>
      <c r="I328" s="571" t="s">
        <v>2932</v>
      </c>
      <c r="J328" s="571">
        <v>43620</v>
      </c>
      <c r="K328" s="574" t="s">
        <v>3813</v>
      </c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70"/>
      <c r="AH328" s="570"/>
      <c r="AI328" s="570"/>
      <c r="AJ328" s="570"/>
      <c r="AK328" s="570"/>
      <c r="AL328" s="570"/>
      <c r="AM328" s="570"/>
      <c r="AN328" s="570"/>
      <c r="AO328" s="570"/>
      <c r="AP328" s="570"/>
      <c r="AQ328" s="570"/>
      <c r="AR328" s="570"/>
      <c r="AS328" s="570"/>
      <c r="AT328" s="570"/>
      <c r="AU328" s="570"/>
    </row>
    <row r="329" spans="1:47" ht="15.75" customHeight="1">
      <c r="A329" s="575">
        <v>44314</v>
      </c>
      <c r="B329" s="576" t="s">
        <v>6457</v>
      </c>
      <c r="C329" s="405" t="s">
        <v>2929</v>
      </c>
      <c r="D329" s="561" t="s">
        <v>6343</v>
      </c>
      <c r="E329" s="573">
        <v>11000</v>
      </c>
      <c r="F329" s="561" t="s">
        <v>3148</v>
      </c>
      <c r="G329" s="571" t="s">
        <v>19</v>
      </c>
      <c r="H329" s="571" t="s">
        <v>35</v>
      </c>
      <c r="I329" s="571" t="s">
        <v>250</v>
      </c>
      <c r="J329" s="571">
        <v>44298</v>
      </c>
      <c r="K329" s="574" t="s">
        <v>3803</v>
      </c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70"/>
      <c r="AH329" s="570"/>
      <c r="AI329" s="570"/>
      <c r="AJ329" s="570"/>
      <c r="AK329" s="570"/>
      <c r="AL329" s="570"/>
      <c r="AM329" s="570"/>
      <c r="AN329" s="570"/>
      <c r="AO329" s="570"/>
      <c r="AP329" s="570"/>
      <c r="AQ329" s="570"/>
      <c r="AR329" s="570"/>
      <c r="AS329" s="570"/>
      <c r="AT329" s="570"/>
      <c r="AU329" s="570"/>
    </row>
    <row r="330" spans="1:47" ht="15.75" customHeight="1">
      <c r="A330" s="575">
        <v>44314</v>
      </c>
      <c r="B330" s="576" t="s">
        <v>6349</v>
      </c>
      <c r="C330" s="405" t="s">
        <v>2929</v>
      </c>
      <c r="D330" s="561" t="s">
        <v>6343</v>
      </c>
      <c r="E330" s="573">
        <v>12000</v>
      </c>
      <c r="F330" s="561" t="s">
        <v>3198</v>
      </c>
      <c r="G330" s="571" t="s">
        <v>2931</v>
      </c>
      <c r="H330" s="571" t="s">
        <v>20</v>
      </c>
      <c r="I330" s="571" t="s">
        <v>2932</v>
      </c>
      <c r="J330" s="571">
        <v>43703</v>
      </c>
      <c r="K330" s="574" t="s">
        <v>4196</v>
      </c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70"/>
      <c r="AH330" s="570"/>
      <c r="AI330" s="570"/>
      <c r="AJ330" s="570"/>
      <c r="AK330" s="570"/>
      <c r="AL330" s="570"/>
      <c r="AM330" s="570"/>
      <c r="AN330" s="570"/>
      <c r="AO330" s="570"/>
      <c r="AP330" s="570"/>
      <c r="AQ330" s="570"/>
      <c r="AR330" s="570"/>
      <c r="AS330" s="570"/>
      <c r="AT330" s="570"/>
      <c r="AU330" s="570"/>
    </row>
    <row r="331" spans="1:47" ht="15.75" customHeight="1">
      <c r="A331" s="575">
        <v>44314</v>
      </c>
      <c r="B331" s="576" t="s">
        <v>6456</v>
      </c>
      <c r="C331" s="405" t="s">
        <v>2929</v>
      </c>
      <c r="D331" s="561" t="s">
        <v>921</v>
      </c>
      <c r="E331" s="573">
        <v>162050.69</v>
      </c>
      <c r="F331" s="561" t="s">
        <v>3004</v>
      </c>
      <c r="G331" s="571" t="s">
        <v>2931</v>
      </c>
      <c r="H331" s="571" t="s">
        <v>20</v>
      </c>
      <c r="I331" s="571" t="s">
        <v>2932</v>
      </c>
      <c r="J331" s="571">
        <v>43620</v>
      </c>
      <c r="K331" s="574" t="s">
        <v>3813</v>
      </c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70"/>
      <c r="AH331" s="570"/>
      <c r="AI331" s="570"/>
      <c r="AJ331" s="570"/>
      <c r="AK331" s="570"/>
      <c r="AL331" s="570"/>
      <c r="AM331" s="570"/>
      <c r="AN331" s="570"/>
      <c r="AO331" s="570"/>
      <c r="AP331" s="570"/>
      <c r="AQ331" s="570"/>
      <c r="AR331" s="570"/>
      <c r="AS331" s="570"/>
      <c r="AT331" s="570"/>
      <c r="AU331" s="570"/>
    </row>
    <row r="332" spans="1:47" ht="15.75" customHeight="1">
      <c r="A332" s="575">
        <v>44314</v>
      </c>
      <c r="B332" s="576" t="s">
        <v>6399</v>
      </c>
      <c r="C332" s="405" t="s">
        <v>3793</v>
      </c>
      <c r="D332" s="561" t="s">
        <v>6343</v>
      </c>
      <c r="E332" s="573">
        <v>5000</v>
      </c>
      <c r="F332" s="561" t="s">
        <v>4484</v>
      </c>
      <c r="G332" s="561" t="s">
        <v>2931</v>
      </c>
      <c r="H332" s="561" t="s">
        <v>20</v>
      </c>
      <c r="I332" s="561" t="s">
        <v>2931</v>
      </c>
      <c r="J332" s="571">
        <v>43901</v>
      </c>
      <c r="K332" s="577" t="s">
        <v>3797</v>
      </c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70"/>
      <c r="AH332" s="570"/>
      <c r="AI332" s="570"/>
      <c r="AJ332" s="570"/>
      <c r="AK332" s="570"/>
      <c r="AL332" s="570"/>
      <c r="AM332" s="570"/>
      <c r="AN332" s="570"/>
      <c r="AO332" s="570"/>
      <c r="AP332" s="570"/>
      <c r="AQ332" s="570"/>
      <c r="AR332" s="570"/>
      <c r="AS332" s="570"/>
      <c r="AT332" s="570"/>
      <c r="AU332" s="570"/>
    </row>
    <row r="333" spans="1:47" ht="15.75" customHeight="1">
      <c r="A333" s="571">
        <v>44315</v>
      </c>
      <c r="B333" s="572" t="s">
        <v>6458</v>
      </c>
      <c r="C333" s="561" t="s">
        <v>3793</v>
      </c>
      <c r="D333" s="561" t="s">
        <v>956</v>
      </c>
      <c r="E333" s="573">
        <v>0</v>
      </c>
      <c r="F333" s="561" t="s">
        <v>5013</v>
      </c>
      <c r="G333" s="561" t="s">
        <v>46</v>
      </c>
      <c r="H333" s="561" t="s">
        <v>20</v>
      </c>
      <c r="I333" s="561" t="s">
        <v>325</v>
      </c>
      <c r="J333" s="571">
        <v>44183</v>
      </c>
      <c r="K333" s="577" t="s">
        <v>3797</v>
      </c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70"/>
      <c r="AH333" s="570"/>
      <c r="AI333" s="570"/>
      <c r="AJ333" s="570"/>
      <c r="AK333" s="570"/>
      <c r="AL333" s="570"/>
      <c r="AM333" s="570"/>
      <c r="AN333" s="570"/>
      <c r="AO333" s="570"/>
      <c r="AP333" s="570"/>
      <c r="AQ333" s="570"/>
      <c r="AR333" s="570"/>
      <c r="AS333" s="570"/>
      <c r="AT333" s="570"/>
      <c r="AU333" s="570"/>
    </row>
    <row r="334" spans="1:47" ht="15.75" customHeight="1">
      <c r="A334" s="575">
        <v>44315</v>
      </c>
      <c r="B334" s="576" t="s">
        <v>6458</v>
      </c>
      <c r="C334" s="405" t="s">
        <v>3793</v>
      </c>
      <c r="D334" s="561" t="s">
        <v>921</v>
      </c>
      <c r="E334" s="573">
        <v>103154.55</v>
      </c>
      <c r="F334" s="561" t="s">
        <v>5013</v>
      </c>
      <c r="G334" s="561" t="s">
        <v>46</v>
      </c>
      <c r="H334" s="561" t="s">
        <v>20</v>
      </c>
      <c r="I334" s="561" t="s">
        <v>325</v>
      </c>
      <c r="J334" s="571">
        <v>44183</v>
      </c>
      <c r="K334" s="577" t="s">
        <v>3797</v>
      </c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70"/>
      <c r="AH334" s="570"/>
      <c r="AI334" s="570"/>
      <c r="AJ334" s="570"/>
      <c r="AK334" s="570"/>
      <c r="AL334" s="570"/>
      <c r="AM334" s="570"/>
      <c r="AN334" s="570"/>
      <c r="AO334" s="570"/>
      <c r="AP334" s="570"/>
      <c r="AQ334" s="570"/>
      <c r="AR334" s="570"/>
      <c r="AS334" s="570"/>
      <c r="AT334" s="570"/>
      <c r="AU334" s="570"/>
    </row>
    <row r="335" spans="1:47" ht="15.75" customHeight="1">
      <c r="A335" s="575">
        <v>44316</v>
      </c>
      <c r="B335" s="576" t="s">
        <v>6457</v>
      </c>
      <c r="C335" s="405" t="s">
        <v>2929</v>
      </c>
      <c r="D335" s="561" t="s">
        <v>6343</v>
      </c>
      <c r="E335" s="573">
        <v>100000</v>
      </c>
      <c r="F335" s="561" t="s">
        <v>3148</v>
      </c>
      <c r="G335" s="571" t="s">
        <v>19</v>
      </c>
      <c r="H335" s="571" t="s">
        <v>35</v>
      </c>
      <c r="I335" s="571" t="s">
        <v>250</v>
      </c>
      <c r="J335" s="571">
        <v>44298</v>
      </c>
      <c r="K335" s="574" t="s">
        <v>3803</v>
      </c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70"/>
      <c r="AH335" s="570"/>
      <c r="AI335" s="570"/>
      <c r="AJ335" s="570"/>
      <c r="AK335" s="570"/>
      <c r="AL335" s="570"/>
      <c r="AM335" s="570"/>
      <c r="AN335" s="570"/>
      <c r="AO335" s="570"/>
      <c r="AP335" s="570"/>
      <c r="AQ335" s="570"/>
      <c r="AR335" s="570"/>
      <c r="AS335" s="570"/>
      <c r="AT335" s="570"/>
      <c r="AU335" s="570"/>
    </row>
    <row r="336" spans="1:47" ht="15.75" customHeight="1">
      <c r="A336" s="575">
        <v>44316</v>
      </c>
      <c r="B336" s="576" t="s">
        <v>6349</v>
      </c>
      <c r="C336" s="405" t="s">
        <v>2929</v>
      </c>
      <c r="D336" s="561" t="s">
        <v>6343</v>
      </c>
      <c r="E336" s="573">
        <v>9000</v>
      </c>
      <c r="F336" s="561" t="s">
        <v>3198</v>
      </c>
      <c r="G336" s="571" t="s">
        <v>2931</v>
      </c>
      <c r="H336" s="571" t="s">
        <v>20</v>
      </c>
      <c r="I336" s="571" t="s">
        <v>2932</v>
      </c>
      <c r="J336" s="571">
        <v>43703</v>
      </c>
      <c r="K336" s="574" t="s">
        <v>4196</v>
      </c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70"/>
      <c r="AH336" s="570"/>
      <c r="AI336" s="570"/>
      <c r="AJ336" s="570"/>
      <c r="AK336" s="570"/>
      <c r="AL336" s="570"/>
      <c r="AM336" s="570"/>
      <c r="AN336" s="570"/>
      <c r="AO336" s="570"/>
      <c r="AP336" s="570"/>
      <c r="AQ336" s="570"/>
      <c r="AR336" s="570"/>
      <c r="AS336" s="570"/>
      <c r="AT336" s="570"/>
      <c r="AU336" s="570"/>
    </row>
    <row r="337" spans="1:47" ht="15.75" customHeight="1">
      <c r="A337" s="575">
        <v>44316</v>
      </c>
      <c r="B337" s="576" t="s">
        <v>6444</v>
      </c>
      <c r="C337" s="405" t="s">
        <v>3793</v>
      </c>
      <c r="D337" s="561" t="s">
        <v>6343</v>
      </c>
      <c r="E337" s="573">
        <v>5000</v>
      </c>
      <c r="F337" s="561" t="s">
        <v>5095</v>
      </c>
      <c r="G337" s="561" t="s">
        <v>46</v>
      </c>
      <c r="H337" s="561" t="s">
        <v>20</v>
      </c>
      <c r="I337" s="561" t="s">
        <v>4480</v>
      </c>
      <c r="J337" s="571">
        <v>44180</v>
      </c>
      <c r="K337" s="577" t="s">
        <v>3803</v>
      </c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70"/>
      <c r="AH337" s="570"/>
      <c r="AI337" s="570"/>
      <c r="AJ337" s="570"/>
      <c r="AK337" s="570"/>
      <c r="AL337" s="570"/>
      <c r="AM337" s="570"/>
      <c r="AN337" s="570"/>
      <c r="AO337" s="570"/>
      <c r="AP337" s="570"/>
      <c r="AQ337" s="570"/>
      <c r="AR337" s="570"/>
      <c r="AS337" s="570"/>
      <c r="AT337" s="570"/>
      <c r="AU337" s="570"/>
    </row>
    <row r="338" spans="1:47" ht="15.75" customHeight="1">
      <c r="A338" s="571">
        <v>44319</v>
      </c>
      <c r="B338" s="572" t="s">
        <v>6459</v>
      </c>
      <c r="C338" s="561" t="s">
        <v>3793</v>
      </c>
      <c r="D338" s="561" t="s">
        <v>956</v>
      </c>
      <c r="E338" s="573">
        <v>0</v>
      </c>
      <c r="F338" s="561" t="s">
        <v>4760</v>
      </c>
      <c r="G338" s="561" t="s">
        <v>46</v>
      </c>
      <c r="H338" s="561" t="s">
        <v>2054</v>
      </c>
      <c r="I338" s="561" t="s">
        <v>6253</v>
      </c>
      <c r="J338" s="571">
        <v>44246</v>
      </c>
      <c r="K338" s="577" t="s">
        <v>3797</v>
      </c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70"/>
      <c r="AH338" s="570"/>
      <c r="AI338" s="570"/>
      <c r="AJ338" s="570"/>
      <c r="AK338" s="570"/>
      <c r="AL338" s="570"/>
      <c r="AM338" s="570"/>
      <c r="AN338" s="570"/>
      <c r="AO338" s="570"/>
      <c r="AP338" s="570"/>
      <c r="AQ338" s="570"/>
      <c r="AR338" s="570"/>
      <c r="AS338" s="570"/>
      <c r="AT338" s="570"/>
      <c r="AU338" s="570"/>
    </row>
    <row r="339" spans="1:47" ht="15.75" customHeight="1">
      <c r="A339" s="575">
        <v>44319</v>
      </c>
      <c r="B339" s="576" t="s">
        <v>6351</v>
      </c>
      <c r="C339" s="405" t="s">
        <v>2929</v>
      </c>
      <c r="D339" s="561" t="s">
        <v>6343</v>
      </c>
      <c r="E339" s="573">
        <v>150895.04999999999</v>
      </c>
      <c r="F339" s="561" t="s">
        <v>3235</v>
      </c>
      <c r="G339" s="571" t="s">
        <v>2931</v>
      </c>
      <c r="H339" s="571" t="s">
        <v>20</v>
      </c>
      <c r="I339" s="571" t="s">
        <v>2932</v>
      </c>
      <c r="J339" s="571">
        <v>43605</v>
      </c>
      <c r="K339" s="574" t="s">
        <v>3813</v>
      </c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70"/>
      <c r="AH339" s="570"/>
      <c r="AI339" s="570"/>
      <c r="AJ339" s="570"/>
      <c r="AK339" s="570"/>
      <c r="AL339" s="570"/>
      <c r="AM339" s="570"/>
      <c r="AN339" s="570"/>
      <c r="AO339" s="570"/>
      <c r="AP339" s="570"/>
      <c r="AQ339" s="570"/>
      <c r="AR339" s="570"/>
      <c r="AS339" s="570"/>
      <c r="AT339" s="570"/>
      <c r="AU339" s="570"/>
    </row>
    <row r="340" spans="1:47" ht="15.75" customHeight="1">
      <c r="A340" s="575">
        <v>44319</v>
      </c>
      <c r="B340" s="576" t="s">
        <v>6459</v>
      </c>
      <c r="C340" s="405" t="s">
        <v>3793</v>
      </c>
      <c r="D340" s="561" t="s">
        <v>921</v>
      </c>
      <c r="E340" s="573">
        <v>263682.77</v>
      </c>
      <c r="F340" s="561" t="s">
        <v>4760</v>
      </c>
      <c r="G340" s="561" t="s">
        <v>46</v>
      </c>
      <c r="H340" s="561" t="s">
        <v>2054</v>
      </c>
      <c r="I340" s="561" t="s">
        <v>6253</v>
      </c>
      <c r="J340" s="571">
        <v>44246</v>
      </c>
      <c r="K340" s="577" t="s">
        <v>3797</v>
      </c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70"/>
      <c r="AH340" s="570"/>
      <c r="AI340" s="570"/>
      <c r="AJ340" s="570"/>
      <c r="AK340" s="570"/>
      <c r="AL340" s="570"/>
      <c r="AM340" s="570"/>
      <c r="AN340" s="570"/>
      <c r="AO340" s="570"/>
      <c r="AP340" s="570"/>
      <c r="AQ340" s="570"/>
      <c r="AR340" s="570"/>
      <c r="AS340" s="570"/>
      <c r="AT340" s="570"/>
      <c r="AU340" s="570"/>
    </row>
    <row r="341" spans="1:47" ht="15.75" customHeight="1">
      <c r="A341" s="575">
        <v>44320</v>
      </c>
      <c r="B341" s="576" t="s">
        <v>6357</v>
      </c>
      <c r="C341" s="405" t="s">
        <v>2929</v>
      </c>
      <c r="D341" s="561" t="s">
        <v>6343</v>
      </c>
      <c r="E341" s="573">
        <v>54000</v>
      </c>
      <c r="F341" s="561" t="s">
        <v>3243</v>
      </c>
      <c r="G341" s="571" t="s">
        <v>2931</v>
      </c>
      <c r="H341" s="571" t="s">
        <v>20</v>
      </c>
      <c r="I341" s="571" t="s">
        <v>2938</v>
      </c>
      <c r="J341" s="571">
        <v>43559</v>
      </c>
      <c r="K341" s="574" t="s">
        <v>4196</v>
      </c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70"/>
      <c r="AH341" s="570"/>
      <c r="AI341" s="570"/>
      <c r="AJ341" s="570"/>
      <c r="AK341" s="570"/>
      <c r="AL341" s="570"/>
      <c r="AM341" s="570"/>
      <c r="AN341" s="570"/>
      <c r="AO341" s="570"/>
      <c r="AP341" s="570"/>
      <c r="AQ341" s="570"/>
      <c r="AR341" s="570"/>
      <c r="AS341" s="570"/>
      <c r="AT341" s="570"/>
      <c r="AU341" s="570"/>
    </row>
    <row r="342" spans="1:47" ht="15.75" customHeight="1">
      <c r="A342" s="575">
        <v>44321</v>
      </c>
      <c r="B342" s="576" t="s">
        <v>6460</v>
      </c>
      <c r="C342" s="405" t="s">
        <v>3793</v>
      </c>
      <c r="D342" s="561" t="s">
        <v>921</v>
      </c>
      <c r="E342" s="573">
        <v>10000</v>
      </c>
      <c r="F342" s="561" t="s">
        <v>4030</v>
      </c>
      <c r="G342" s="561" t="s">
        <v>46</v>
      </c>
      <c r="H342" s="561" t="s">
        <v>20</v>
      </c>
      <c r="I342" s="561" t="s">
        <v>3640</v>
      </c>
      <c r="J342" s="571">
        <v>44228</v>
      </c>
      <c r="K342" s="577" t="s">
        <v>3797</v>
      </c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70"/>
      <c r="AH342" s="570"/>
      <c r="AI342" s="570"/>
      <c r="AJ342" s="570"/>
      <c r="AK342" s="570"/>
      <c r="AL342" s="570"/>
      <c r="AM342" s="570"/>
      <c r="AN342" s="570"/>
      <c r="AO342" s="570"/>
      <c r="AP342" s="570"/>
      <c r="AQ342" s="570"/>
      <c r="AR342" s="570"/>
      <c r="AS342" s="570"/>
      <c r="AT342" s="570"/>
      <c r="AU342" s="570"/>
    </row>
    <row r="343" spans="1:47" ht="15.75" customHeight="1">
      <c r="A343" s="575">
        <v>44321</v>
      </c>
      <c r="B343" s="576" t="s">
        <v>6461</v>
      </c>
      <c r="C343" s="405" t="s">
        <v>2929</v>
      </c>
      <c r="D343" s="561" t="s">
        <v>6343</v>
      </c>
      <c r="E343" s="573">
        <v>18500</v>
      </c>
      <c r="F343" s="561" t="s">
        <v>3454</v>
      </c>
      <c r="G343" s="571" t="s">
        <v>19</v>
      </c>
      <c r="H343" s="571" t="s">
        <v>35</v>
      </c>
      <c r="I343" s="571" t="s">
        <v>250</v>
      </c>
      <c r="J343" s="571">
        <v>44279</v>
      </c>
      <c r="K343" s="574" t="s">
        <v>3803</v>
      </c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70"/>
      <c r="AH343" s="570"/>
      <c r="AI343" s="570"/>
      <c r="AJ343" s="570"/>
      <c r="AK343" s="570"/>
      <c r="AL343" s="570"/>
      <c r="AM343" s="570"/>
      <c r="AN343" s="570"/>
      <c r="AO343" s="570"/>
      <c r="AP343" s="570"/>
      <c r="AQ343" s="570"/>
      <c r="AR343" s="570"/>
      <c r="AS343" s="570"/>
      <c r="AT343" s="570"/>
      <c r="AU343" s="570"/>
    </row>
    <row r="344" spans="1:47" ht="15.75" customHeight="1">
      <c r="A344" s="571">
        <v>44322</v>
      </c>
      <c r="B344" s="592" t="s">
        <v>6435</v>
      </c>
      <c r="C344" s="561" t="s">
        <v>2929</v>
      </c>
      <c r="D344" s="561" t="s">
        <v>956</v>
      </c>
      <c r="E344" s="573">
        <v>19321.39</v>
      </c>
      <c r="F344" s="561" t="s">
        <v>6436</v>
      </c>
      <c r="G344" s="571" t="s">
        <v>19</v>
      </c>
      <c r="H344" s="571" t="s">
        <v>35</v>
      </c>
      <c r="I344" s="571" t="s">
        <v>199</v>
      </c>
      <c r="J344" s="571">
        <v>44278</v>
      </c>
      <c r="K344" s="574" t="s">
        <v>3803</v>
      </c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70"/>
      <c r="AH344" s="570"/>
      <c r="AI344" s="570"/>
      <c r="AJ344" s="570"/>
      <c r="AK344" s="570"/>
      <c r="AL344" s="570"/>
      <c r="AM344" s="570"/>
      <c r="AN344" s="570"/>
      <c r="AO344" s="570"/>
      <c r="AP344" s="570"/>
      <c r="AQ344" s="570"/>
      <c r="AR344" s="570"/>
      <c r="AS344" s="570"/>
      <c r="AT344" s="570"/>
      <c r="AU344" s="570"/>
    </row>
    <row r="345" spans="1:47" ht="15.75" customHeight="1">
      <c r="A345" s="575">
        <v>44322</v>
      </c>
      <c r="B345" s="576" t="s">
        <v>6349</v>
      </c>
      <c r="C345" s="405" t="s">
        <v>2929</v>
      </c>
      <c r="D345" s="561" t="s">
        <v>6343</v>
      </c>
      <c r="E345" s="573">
        <v>103664.69</v>
      </c>
      <c r="F345" s="561" t="s">
        <v>3198</v>
      </c>
      <c r="G345" s="571" t="s">
        <v>2931</v>
      </c>
      <c r="H345" s="571" t="s">
        <v>20</v>
      </c>
      <c r="I345" s="571" t="s">
        <v>2932</v>
      </c>
      <c r="J345" s="571">
        <v>43703</v>
      </c>
      <c r="K345" s="574" t="s">
        <v>4196</v>
      </c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70"/>
      <c r="AH345" s="570"/>
      <c r="AI345" s="570"/>
      <c r="AJ345" s="570"/>
      <c r="AK345" s="570"/>
      <c r="AL345" s="570"/>
      <c r="AM345" s="570"/>
      <c r="AN345" s="570"/>
      <c r="AO345" s="570"/>
      <c r="AP345" s="570"/>
      <c r="AQ345" s="570"/>
      <c r="AR345" s="570"/>
      <c r="AS345" s="570"/>
      <c r="AT345" s="570"/>
      <c r="AU345" s="570"/>
    </row>
    <row r="346" spans="1:47" ht="15.75" customHeight="1">
      <c r="A346" s="575">
        <v>44326</v>
      </c>
      <c r="B346" s="576" t="s">
        <v>6404</v>
      </c>
      <c r="C346" s="405" t="s">
        <v>2929</v>
      </c>
      <c r="D346" s="561" t="s">
        <v>6343</v>
      </c>
      <c r="E346" s="573">
        <v>11000</v>
      </c>
      <c r="F346" s="561" t="s">
        <v>3369</v>
      </c>
      <c r="G346" s="571" t="s">
        <v>2931</v>
      </c>
      <c r="H346" s="571" t="s">
        <v>20</v>
      </c>
      <c r="I346" s="571" t="s">
        <v>2932</v>
      </c>
      <c r="J346" s="571">
        <v>43873</v>
      </c>
      <c r="K346" s="574" t="s">
        <v>3803</v>
      </c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70"/>
      <c r="AH346" s="570"/>
      <c r="AI346" s="570"/>
      <c r="AJ346" s="570"/>
      <c r="AK346" s="570"/>
      <c r="AL346" s="570"/>
      <c r="AM346" s="570"/>
      <c r="AN346" s="570"/>
      <c r="AO346" s="570"/>
      <c r="AP346" s="570"/>
      <c r="AQ346" s="570"/>
      <c r="AR346" s="570"/>
      <c r="AS346" s="570"/>
      <c r="AT346" s="570"/>
      <c r="AU346" s="570"/>
    </row>
    <row r="347" spans="1:47" ht="15.75" customHeight="1">
      <c r="A347" s="575">
        <v>44327</v>
      </c>
      <c r="B347" s="572" t="s">
        <v>6462</v>
      </c>
      <c r="C347" s="561" t="s">
        <v>2929</v>
      </c>
      <c r="D347" s="561" t="s">
        <v>956</v>
      </c>
      <c r="E347" s="573">
        <v>797.3</v>
      </c>
      <c r="F347" s="561" t="s">
        <v>3405</v>
      </c>
      <c r="G347" s="571" t="s">
        <v>2931</v>
      </c>
      <c r="H347" s="571" t="s">
        <v>20</v>
      </c>
      <c r="I347" s="571" t="s">
        <v>2932</v>
      </c>
      <c r="J347" s="571">
        <v>43710</v>
      </c>
      <c r="K347" s="574" t="s">
        <v>4196</v>
      </c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70"/>
      <c r="AH347" s="570"/>
      <c r="AI347" s="570"/>
      <c r="AJ347" s="570"/>
      <c r="AK347" s="570"/>
      <c r="AL347" s="570"/>
      <c r="AM347" s="570"/>
      <c r="AN347" s="570"/>
      <c r="AO347" s="570"/>
      <c r="AP347" s="570"/>
      <c r="AQ347" s="570"/>
      <c r="AR347" s="570"/>
      <c r="AS347" s="570"/>
      <c r="AT347" s="570"/>
      <c r="AU347" s="570"/>
    </row>
    <row r="348" spans="1:47" ht="15.75" customHeight="1">
      <c r="A348" s="575">
        <v>44327</v>
      </c>
      <c r="B348" s="576" t="s">
        <v>6380</v>
      </c>
      <c r="C348" s="405" t="s">
        <v>2929</v>
      </c>
      <c r="D348" s="561" t="s">
        <v>921</v>
      </c>
      <c r="E348" s="585">
        <v>151479.54999999999</v>
      </c>
      <c r="F348" s="561" t="s">
        <v>3298</v>
      </c>
      <c r="G348" s="571" t="s">
        <v>2931</v>
      </c>
      <c r="H348" s="571" t="s">
        <v>20</v>
      </c>
      <c r="I348" s="571" t="s">
        <v>2932</v>
      </c>
      <c r="J348" s="571">
        <v>43732</v>
      </c>
      <c r="K348" s="574" t="s">
        <v>4196</v>
      </c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70"/>
      <c r="AH348" s="570"/>
      <c r="AI348" s="570"/>
      <c r="AJ348" s="570"/>
      <c r="AK348" s="570"/>
      <c r="AL348" s="570"/>
      <c r="AM348" s="570"/>
      <c r="AN348" s="570"/>
      <c r="AO348" s="570"/>
      <c r="AP348" s="570"/>
      <c r="AQ348" s="570"/>
      <c r="AR348" s="570"/>
      <c r="AS348" s="570"/>
      <c r="AT348" s="570"/>
      <c r="AU348" s="570"/>
    </row>
    <row r="349" spans="1:47" ht="15.75" customHeight="1">
      <c r="A349" s="575">
        <v>44327</v>
      </c>
      <c r="B349" s="576" t="s">
        <v>6463</v>
      </c>
      <c r="C349" s="405" t="s">
        <v>2929</v>
      </c>
      <c r="D349" s="561" t="s">
        <v>921</v>
      </c>
      <c r="E349" s="573">
        <v>405479.42</v>
      </c>
      <c r="F349" s="561" t="s">
        <v>2954</v>
      </c>
      <c r="G349" s="571" t="s">
        <v>2931</v>
      </c>
      <c r="H349" s="571" t="s">
        <v>20</v>
      </c>
      <c r="I349" s="571" t="s">
        <v>2932</v>
      </c>
      <c r="J349" s="571">
        <v>43684</v>
      </c>
      <c r="K349" s="574" t="s">
        <v>4196</v>
      </c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70"/>
      <c r="AH349" s="570"/>
      <c r="AI349" s="570"/>
      <c r="AJ349" s="570"/>
      <c r="AK349" s="570"/>
      <c r="AL349" s="570"/>
      <c r="AM349" s="570"/>
      <c r="AN349" s="570"/>
      <c r="AO349" s="570"/>
      <c r="AP349" s="570"/>
      <c r="AQ349" s="570"/>
      <c r="AR349" s="570"/>
      <c r="AS349" s="570"/>
      <c r="AT349" s="570"/>
      <c r="AU349" s="570"/>
    </row>
    <row r="350" spans="1:47" ht="15.75" customHeight="1">
      <c r="A350" s="575">
        <v>44327</v>
      </c>
      <c r="B350" s="576" t="s">
        <v>6464</v>
      </c>
      <c r="C350" s="405" t="s">
        <v>2929</v>
      </c>
      <c r="D350" s="561" t="s">
        <v>6343</v>
      </c>
      <c r="E350" s="573">
        <v>70000</v>
      </c>
      <c r="F350" s="561" t="s">
        <v>3260</v>
      </c>
      <c r="G350" s="571" t="s">
        <v>19</v>
      </c>
      <c r="H350" s="571" t="s">
        <v>35</v>
      </c>
      <c r="I350" s="571" t="s">
        <v>250</v>
      </c>
      <c r="J350" s="571">
        <v>44278</v>
      </c>
      <c r="K350" s="574" t="s">
        <v>3797</v>
      </c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70"/>
      <c r="AH350" s="570"/>
      <c r="AI350" s="570"/>
      <c r="AJ350" s="570"/>
      <c r="AK350" s="570"/>
      <c r="AL350" s="570"/>
      <c r="AM350" s="570"/>
      <c r="AN350" s="570"/>
      <c r="AO350" s="570"/>
      <c r="AP350" s="570"/>
      <c r="AQ350" s="570"/>
      <c r="AR350" s="570"/>
      <c r="AS350" s="570"/>
      <c r="AT350" s="570"/>
      <c r="AU350" s="570"/>
    </row>
    <row r="351" spans="1:47" ht="15.75" customHeight="1">
      <c r="A351" s="575">
        <v>44327</v>
      </c>
      <c r="B351" s="576" t="s">
        <v>6404</v>
      </c>
      <c r="C351" s="405" t="s">
        <v>2929</v>
      </c>
      <c r="D351" s="561" t="s">
        <v>6343</v>
      </c>
      <c r="E351" s="573">
        <v>15000</v>
      </c>
      <c r="F351" s="561" t="s">
        <v>3369</v>
      </c>
      <c r="G351" s="571" t="s">
        <v>2931</v>
      </c>
      <c r="H351" s="571" t="s">
        <v>20</v>
      </c>
      <c r="I351" s="571" t="s">
        <v>2932</v>
      </c>
      <c r="J351" s="571">
        <v>43873</v>
      </c>
      <c r="K351" s="574" t="s">
        <v>3803</v>
      </c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</row>
    <row r="352" spans="1:47" ht="15.75" customHeight="1">
      <c r="A352" s="571">
        <v>44329</v>
      </c>
      <c r="B352" s="572" t="s">
        <v>6393</v>
      </c>
      <c r="C352" s="561" t="s">
        <v>2929</v>
      </c>
      <c r="D352" s="561" t="s">
        <v>956</v>
      </c>
      <c r="E352" s="573">
        <v>13320.06</v>
      </c>
      <c r="F352" s="561" t="s">
        <v>3503</v>
      </c>
      <c r="G352" s="571" t="s">
        <v>2931</v>
      </c>
      <c r="H352" s="571" t="s">
        <v>20</v>
      </c>
      <c r="I352" s="571" t="s">
        <v>2932</v>
      </c>
      <c r="J352" s="571">
        <v>44041</v>
      </c>
      <c r="K352" s="574" t="s">
        <v>3803</v>
      </c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70"/>
      <c r="AH352" s="570"/>
      <c r="AI352" s="570"/>
      <c r="AJ352" s="570"/>
      <c r="AK352" s="570"/>
      <c r="AL352" s="570"/>
      <c r="AM352" s="570"/>
      <c r="AN352" s="570"/>
      <c r="AO352" s="570"/>
      <c r="AP352" s="570"/>
      <c r="AQ352" s="570"/>
      <c r="AR352" s="570"/>
      <c r="AS352" s="570"/>
      <c r="AT352" s="570"/>
      <c r="AU352" s="570"/>
    </row>
    <row r="353" spans="1:47" ht="15.75" customHeight="1">
      <c r="A353" s="575">
        <v>44329</v>
      </c>
      <c r="B353" s="576" t="s">
        <v>6349</v>
      </c>
      <c r="C353" s="405" t="s">
        <v>2929</v>
      </c>
      <c r="D353" s="561" t="s">
        <v>6343</v>
      </c>
      <c r="E353" s="573">
        <v>15000</v>
      </c>
      <c r="F353" s="561" t="s">
        <v>3198</v>
      </c>
      <c r="G353" s="571" t="s">
        <v>2931</v>
      </c>
      <c r="H353" s="571" t="s">
        <v>20</v>
      </c>
      <c r="I353" s="571" t="s">
        <v>2932</v>
      </c>
      <c r="J353" s="571">
        <v>43703</v>
      </c>
      <c r="K353" s="574" t="s">
        <v>4196</v>
      </c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70"/>
      <c r="AH353" s="570"/>
      <c r="AI353" s="570"/>
      <c r="AJ353" s="570"/>
      <c r="AK353" s="570"/>
      <c r="AL353" s="570"/>
      <c r="AM353" s="570"/>
      <c r="AN353" s="570"/>
      <c r="AO353" s="570"/>
      <c r="AP353" s="570"/>
      <c r="AQ353" s="570"/>
      <c r="AR353" s="570"/>
      <c r="AS353" s="570"/>
      <c r="AT353" s="570"/>
      <c r="AU353" s="570"/>
    </row>
    <row r="354" spans="1:47" ht="15.75" customHeight="1">
      <c r="A354" s="575">
        <v>44329</v>
      </c>
      <c r="B354" s="576" t="s">
        <v>6465</v>
      </c>
      <c r="C354" s="405" t="s">
        <v>2929</v>
      </c>
      <c r="D354" s="561" t="s">
        <v>921</v>
      </c>
      <c r="E354" s="573">
        <v>107481.43</v>
      </c>
      <c r="F354" s="561" t="s">
        <v>3086</v>
      </c>
      <c r="G354" s="571" t="s">
        <v>2931</v>
      </c>
      <c r="H354" s="571" t="s">
        <v>20</v>
      </c>
      <c r="I354" s="571" t="s">
        <v>2931</v>
      </c>
      <c r="J354" s="571">
        <v>44118</v>
      </c>
      <c r="K354" s="574" t="s">
        <v>3803</v>
      </c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70"/>
      <c r="AH354" s="570"/>
      <c r="AI354" s="570"/>
      <c r="AJ354" s="570"/>
      <c r="AK354" s="570"/>
      <c r="AL354" s="570"/>
      <c r="AM354" s="570"/>
      <c r="AN354" s="570"/>
      <c r="AO354" s="570"/>
      <c r="AP354" s="570"/>
      <c r="AQ354" s="570"/>
      <c r="AR354" s="570"/>
      <c r="AS354" s="570"/>
      <c r="AT354" s="570"/>
      <c r="AU354" s="570"/>
    </row>
    <row r="355" spans="1:47" ht="15.75" customHeight="1">
      <c r="A355" s="575">
        <v>44329</v>
      </c>
      <c r="B355" s="576" t="s">
        <v>6466</v>
      </c>
      <c r="C355" s="405" t="s">
        <v>2929</v>
      </c>
      <c r="D355" s="561" t="s">
        <v>921</v>
      </c>
      <c r="E355" s="573">
        <v>89000</v>
      </c>
      <c r="F355" s="561" t="s">
        <v>3084</v>
      </c>
      <c r="G355" s="571" t="s">
        <v>2931</v>
      </c>
      <c r="H355" s="571" t="s">
        <v>20</v>
      </c>
      <c r="I355" s="571" t="s">
        <v>2931</v>
      </c>
      <c r="J355" s="571">
        <v>44124</v>
      </c>
      <c r="K355" s="574" t="s">
        <v>3803</v>
      </c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70"/>
      <c r="AH355" s="570"/>
      <c r="AI355" s="570"/>
      <c r="AJ355" s="570"/>
      <c r="AK355" s="570"/>
      <c r="AL355" s="570"/>
      <c r="AM355" s="570"/>
      <c r="AN355" s="570"/>
      <c r="AO355" s="570"/>
      <c r="AP355" s="570"/>
      <c r="AQ355" s="570"/>
      <c r="AR355" s="570"/>
      <c r="AS355" s="570"/>
      <c r="AT355" s="570"/>
      <c r="AU355" s="570"/>
    </row>
    <row r="356" spans="1:47" ht="15.75" customHeight="1">
      <c r="A356" s="575">
        <v>44330</v>
      </c>
      <c r="B356" s="576" t="s">
        <v>6467</v>
      </c>
      <c r="C356" s="405" t="s">
        <v>2929</v>
      </c>
      <c r="D356" s="561" t="s">
        <v>6343</v>
      </c>
      <c r="E356" s="573">
        <v>140003.78</v>
      </c>
      <c r="F356" s="561" t="s">
        <v>2305</v>
      </c>
      <c r="G356" s="571" t="s">
        <v>19</v>
      </c>
      <c r="H356" s="571" t="s">
        <v>35</v>
      </c>
      <c r="I356" s="571" t="s">
        <v>199</v>
      </c>
      <c r="J356" s="571">
        <v>44280</v>
      </c>
      <c r="K356" s="574" t="s">
        <v>3803</v>
      </c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70"/>
      <c r="AH356" s="570"/>
      <c r="AI356" s="570"/>
      <c r="AJ356" s="570"/>
      <c r="AK356" s="570"/>
      <c r="AL356" s="570"/>
      <c r="AM356" s="570"/>
      <c r="AN356" s="570"/>
      <c r="AO356" s="570"/>
      <c r="AP356" s="570"/>
      <c r="AQ356" s="570"/>
      <c r="AR356" s="570"/>
      <c r="AS356" s="570"/>
      <c r="AT356" s="570"/>
      <c r="AU356" s="570"/>
    </row>
    <row r="357" spans="1:47" ht="15.75" customHeight="1">
      <c r="A357" s="575">
        <v>44333</v>
      </c>
      <c r="B357" s="576" t="s">
        <v>6468</v>
      </c>
      <c r="C357" s="405" t="s">
        <v>3793</v>
      </c>
      <c r="D357" s="561" t="s">
        <v>6343</v>
      </c>
      <c r="E357" s="573">
        <v>200000</v>
      </c>
      <c r="F357" s="561" t="s">
        <v>3803</v>
      </c>
      <c r="G357" s="561" t="s">
        <v>46</v>
      </c>
      <c r="H357" s="561" t="s">
        <v>20</v>
      </c>
      <c r="I357" s="561" t="s">
        <v>3640</v>
      </c>
      <c r="J357" s="571">
        <v>44160</v>
      </c>
      <c r="K357" s="577" t="s">
        <v>3803</v>
      </c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70"/>
      <c r="AH357" s="570"/>
      <c r="AI357" s="570"/>
      <c r="AJ357" s="570"/>
      <c r="AK357" s="570"/>
      <c r="AL357" s="570"/>
      <c r="AM357" s="570"/>
      <c r="AN357" s="570"/>
      <c r="AO357" s="570"/>
      <c r="AP357" s="570"/>
      <c r="AQ357" s="570"/>
      <c r="AR357" s="570"/>
      <c r="AS357" s="570"/>
      <c r="AT357" s="570"/>
      <c r="AU357" s="570"/>
    </row>
    <row r="358" spans="1:47" ht="15.75" customHeight="1">
      <c r="A358" s="571">
        <v>44335</v>
      </c>
      <c r="B358" s="572" t="s">
        <v>6469</v>
      </c>
      <c r="C358" s="561" t="s">
        <v>3793</v>
      </c>
      <c r="D358" s="561" t="s">
        <v>956</v>
      </c>
      <c r="E358" s="573">
        <v>0</v>
      </c>
      <c r="F358" s="561" t="s">
        <v>4597</v>
      </c>
      <c r="G358" s="561" t="s">
        <v>19</v>
      </c>
      <c r="H358" s="561" t="s">
        <v>20</v>
      </c>
      <c r="I358" s="561" t="s">
        <v>437</v>
      </c>
      <c r="J358" s="571">
        <v>43880</v>
      </c>
      <c r="K358" s="577" t="s">
        <v>3817</v>
      </c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70"/>
      <c r="AH358" s="570"/>
      <c r="AI358" s="570"/>
      <c r="AJ358" s="570"/>
      <c r="AK358" s="570"/>
      <c r="AL358" s="570"/>
      <c r="AM358" s="570"/>
      <c r="AN358" s="570"/>
      <c r="AO358" s="570"/>
      <c r="AP358" s="570"/>
      <c r="AQ358" s="570"/>
      <c r="AR358" s="570"/>
      <c r="AS358" s="570"/>
      <c r="AT358" s="570"/>
      <c r="AU358" s="570"/>
    </row>
    <row r="359" spans="1:47" ht="15.75" customHeight="1">
      <c r="A359" s="575">
        <v>44336</v>
      </c>
      <c r="B359" s="576" t="s">
        <v>6457</v>
      </c>
      <c r="C359" s="405" t="s">
        <v>2929</v>
      </c>
      <c r="D359" s="561" t="s">
        <v>6343</v>
      </c>
      <c r="E359" s="573">
        <v>44600</v>
      </c>
      <c r="F359" s="561" t="s">
        <v>3148</v>
      </c>
      <c r="G359" s="571" t="s">
        <v>19</v>
      </c>
      <c r="H359" s="571" t="s">
        <v>35</v>
      </c>
      <c r="I359" s="571" t="s">
        <v>250</v>
      </c>
      <c r="J359" s="571">
        <v>44298</v>
      </c>
      <c r="K359" s="574" t="s">
        <v>3803</v>
      </c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70"/>
      <c r="AH359" s="570"/>
      <c r="AI359" s="570"/>
      <c r="AJ359" s="570"/>
      <c r="AK359" s="570"/>
      <c r="AL359" s="570"/>
      <c r="AM359" s="570"/>
      <c r="AN359" s="570"/>
      <c r="AO359" s="570"/>
      <c r="AP359" s="570"/>
      <c r="AQ359" s="570"/>
      <c r="AR359" s="570"/>
      <c r="AS359" s="570"/>
      <c r="AT359" s="570"/>
      <c r="AU359" s="570"/>
    </row>
    <row r="360" spans="1:47" ht="15.75" customHeight="1">
      <c r="A360" s="575">
        <v>44337</v>
      </c>
      <c r="B360" s="576" t="s">
        <v>6470</v>
      </c>
      <c r="C360" s="405" t="s">
        <v>2929</v>
      </c>
      <c r="D360" s="561" t="s">
        <v>6343</v>
      </c>
      <c r="E360" s="573">
        <v>54600</v>
      </c>
      <c r="F360" s="561" t="s">
        <v>1919</v>
      </c>
      <c r="G360" s="571" t="s">
        <v>19</v>
      </c>
      <c r="H360" s="571" t="s">
        <v>35</v>
      </c>
      <c r="I360" s="571" t="s">
        <v>250</v>
      </c>
      <c r="J360" s="571">
        <v>44287</v>
      </c>
      <c r="K360" s="574" t="s">
        <v>3813</v>
      </c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70"/>
      <c r="AH360" s="570"/>
      <c r="AI360" s="570"/>
      <c r="AJ360" s="570"/>
      <c r="AK360" s="570"/>
      <c r="AL360" s="570"/>
      <c r="AM360" s="570"/>
      <c r="AN360" s="570"/>
      <c r="AO360" s="570"/>
      <c r="AP360" s="570"/>
      <c r="AQ360" s="570"/>
      <c r="AR360" s="570"/>
      <c r="AS360" s="570"/>
      <c r="AT360" s="570"/>
      <c r="AU360" s="570"/>
    </row>
    <row r="361" spans="1:47" ht="15.75" customHeight="1">
      <c r="A361" s="575">
        <v>44337</v>
      </c>
      <c r="B361" s="576" t="s">
        <v>6471</v>
      </c>
      <c r="C361" s="405" t="s">
        <v>2929</v>
      </c>
      <c r="D361" s="561" t="s">
        <v>6343</v>
      </c>
      <c r="E361" s="573">
        <v>11500</v>
      </c>
      <c r="F361" s="561" t="s">
        <v>542</v>
      </c>
      <c r="G361" s="571" t="s">
        <v>19</v>
      </c>
      <c r="H361" s="571" t="s">
        <v>35</v>
      </c>
      <c r="I361" s="571" t="s">
        <v>250</v>
      </c>
      <c r="J361" s="571">
        <v>44333</v>
      </c>
      <c r="K361" s="574" t="s">
        <v>3813</v>
      </c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70"/>
      <c r="AH361" s="570"/>
      <c r="AI361" s="570"/>
      <c r="AJ361" s="570"/>
      <c r="AK361" s="570"/>
      <c r="AL361" s="570"/>
      <c r="AM361" s="570"/>
      <c r="AN361" s="570"/>
      <c r="AO361" s="570"/>
      <c r="AP361" s="570"/>
      <c r="AQ361" s="570"/>
      <c r="AR361" s="570"/>
      <c r="AS361" s="570"/>
      <c r="AT361" s="570"/>
      <c r="AU361" s="570"/>
    </row>
    <row r="362" spans="1:47" ht="15.75" customHeight="1">
      <c r="A362" s="575">
        <v>44340</v>
      </c>
      <c r="B362" s="576" t="s">
        <v>6395</v>
      </c>
      <c r="C362" s="405" t="s">
        <v>2929</v>
      </c>
      <c r="D362" s="561" t="s">
        <v>6343</v>
      </c>
      <c r="E362" s="573">
        <v>98710.87</v>
      </c>
      <c r="F362" s="561" t="s">
        <v>3273</v>
      </c>
      <c r="G362" s="571" t="s">
        <v>2931</v>
      </c>
      <c r="H362" s="571" t="s">
        <v>20</v>
      </c>
      <c r="I362" s="571" t="s">
        <v>2932</v>
      </c>
      <c r="J362" s="571">
        <v>43711</v>
      </c>
      <c r="K362" s="574" t="s">
        <v>4196</v>
      </c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70"/>
      <c r="AH362" s="570"/>
      <c r="AI362" s="570"/>
      <c r="AJ362" s="570"/>
      <c r="AK362" s="570"/>
      <c r="AL362" s="570"/>
      <c r="AM362" s="570"/>
      <c r="AN362" s="570"/>
      <c r="AO362" s="570"/>
      <c r="AP362" s="570"/>
      <c r="AQ362" s="570"/>
      <c r="AR362" s="570"/>
      <c r="AS362" s="570"/>
      <c r="AT362" s="570"/>
      <c r="AU362" s="570"/>
    </row>
    <row r="363" spans="1:47" ht="15.75" customHeight="1">
      <c r="A363" s="575">
        <v>44340</v>
      </c>
      <c r="B363" s="576" t="s">
        <v>6406</v>
      </c>
      <c r="C363" s="405" t="s">
        <v>3793</v>
      </c>
      <c r="D363" s="561" t="s">
        <v>6343</v>
      </c>
      <c r="E363" s="573">
        <v>10000</v>
      </c>
      <c r="F363" s="561" t="s">
        <v>4622</v>
      </c>
      <c r="G363" s="561" t="s">
        <v>2931</v>
      </c>
      <c r="H363" s="561" t="s">
        <v>20</v>
      </c>
      <c r="I363" s="561" t="s">
        <v>2931</v>
      </c>
      <c r="J363" s="593">
        <v>43717</v>
      </c>
      <c r="K363" s="577" t="s">
        <v>4196</v>
      </c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70"/>
      <c r="AH363" s="570"/>
      <c r="AI363" s="570"/>
      <c r="AJ363" s="570"/>
      <c r="AK363" s="570"/>
      <c r="AL363" s="570"/>
      <c r="AM363" s="570"/>
      <c r="AN363" s="570"/>
      <c r="AO363" s="570"/>
      <c r="AP363" s="570"/>
      <c r="AQ363" s="570"/>
      <c r="AR363" s="570"/>
      <c r="AS363" s="570"/>
      <c r="AT363" s="570"/>
      <c r="AU363" s="570"/>
    </row>
    <row r="364" spans="1:47" ht="15.75" customHeight="1">
      <c r="A364" s="575">
        <v>44340</v>
      </c>
      <c r="B364" s="576" t="s">
        <v>6395</v>
      </c>
      <c r="C364" s="405" t="s">
        <v>2929</v>
      </c>
      <c r="D364" s="561" t="s">
        <v>921</v>
      </c>
      <c r="E364" s="573">
        <v>1330000</v>
      </c>
      <c r="F364" s="561" t="s">
        <v>3273</v>
      </c>
      <c r="G364" s="571" t="s">
        <v>2931</v>
      </c>
      <c r="H364" s="571" t="s">
        <v>20</v>
      </c>
      <c r="I364" s="571" t="s">
        <v>2932</v>
      </c>
      <c r="J364" s="571">
        <v>43711</v>
      </c>
      <c r="K364" s="574" t="s">
        <v>4196</v>
      </c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70"/>
      <c r="AH364" s="570"/>
      <c r="AI364" s="570"/>
      <c r="AJ364" s="570"/>
      <c r="AK364" s="570"/>
      <c r="AL364" s="570"/>
      <c r="AM364" s="570"/>
      <c r="AN364" s="570"/>
      <c r="AO364" s="570"/>
      <c r="AP364" s="570"/>
      <c r="AQ364" s="570"/>
      <c r="AR364" s="570"/>
      <c r="AS364" s="570"/>
      <c r="AT364" s="570"/>
      <c r="AU364" s="570"/>
    </row>
    <row r="365" spans="1:47" ht="15.75" customHeight="1">
      <c r="A365" s="575">
        <v>44341</v>
      </c>
      <c r="B365" s="576" t="s">
        <v>6472</v>
      </c>
      <c r="C365" s="405" t="s">
        <v>3793</v>
      </c>
      <c r="D365" s="561" t="s">
        <v>6343</v>
      </c>
      <c r="E365" s="573">
        <v>15000</v>
      </c>
      <c r="F365" s="561" t="s">
        <v>5271</v>
      </c>
      <c r="G365" s="561" t="s">
        <v>19</v>
      </c>
      <c r="H365" s="561" t="s">
        <v>66</v>
      </c>
      <c r="I365" s="561" t="s">
        <v>316</v>
      </c>
      <c r="J365" s="571">
        <v>44291</v>
      </c>
      <c r="K365" s="577" t="s">
        <v>3817</v>
      </c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70"/>
      <c r="AH365" s="570"/>
      <c r="AI365" s="570"/>
      <c r="AJ365" s="570"/>
      <c r="AK365" s="570"/>
      <c r="AL365" s="570"/>
      <c r="AM365" s="570"/>
      <c r="AN365" s="570"/>
      <c r="AO365" s="570"/>
      <c r="AP365" s="570"/>
      <c r="AQ365" s="570"/>
      <c r="AR365" s="570"/>
      <c r="AS365" s="570"/>
      <c r="AT365" s="570"/>
      <c r="AU365" s="570"/>
    </row>
    <row r="366" spans="1:47" ht="15.75" customHeight="1">
      <c r="A366" s="575">
        <v>44341</v>
      </c>
      <c r="B366" s="576" t="s">
        <v>6461</v>
      </c>
      <c r="C366" s="405" t="s">
        <v>2929</v>
      </c>
      <c r="D366" s="561" t="s">
        <v>6343</v>
      </c>
      <c r="E366" s="573">
        <v>10000</v>
      </c>
      <c r="F366" s="561" t="s">
        <v>3454</v>
      </c>
      <c r="G366" s="571" t="s">
        <v>19</v>
      </c>
      <c r="H366" s="571" t="s">
        <v>35</v>
      </c>
      <c r="I366" s="571" t="s">
        <v>250</v>
      </c>
      <c r="J366" s="571">
        <v>44279</v>
      </c>
      <c r="K366" s="574" t="s">
        <v>3803</v>
      </c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70"/>
      <c r="AH366" s="570"/>
      <c r="AI366" s="570"/>
      <c r="AJ366" s="570"/>
      <c r="AK366" s="570"/>
      <c r="AL366" s="570"/>
      <c r="AM366" s="570"/>
      <c r="AN366" s="570"/>
      <c r="AO366" s="570"/>
      <c r="AP366" s="570"/>
      <c r="AQ366" s="570"/>
      <c r="AR366" s="570"/>
      <c r="AS366" s="570"/>
      <c r="AT366" s="570"/>
      <c r="AU366" s="570"/>
    </row>
    <row r="367" spans="1:47" ht="15.75" customHeight="1">
      <c r="A367" s="575">
        <v>44341</v>
      </c>
      <c r="B367" s="576" t="s">
        <v>6473</v>
      </c>
      <c r="C367" s="405" t="s">
        <v>2929</v>
      </c>
      <c r="D367" s="561" t="s">
        <v>6343</v>
      </c>
      <c r="E367" s="573">
        <v>7000</v>
      </c>
      <c r="F367" s="561" t="s">
        <v>3282</v>
      </c>
      <c r="G367" s="571" t="s">
        <v>19</v>
      </c>
      <c r="H367" s="571" t="s">
        <v>35</v>
      </c>
      <c r="I367" s="571" t="s">
        <v>250</v>
      </c>
      <c r="J367" s="571">
        <v>44280</v>
      </c>
      <c r="K367" s="574" t="s">
        <v>3803</v>
      </c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70"/>
      <c r="AH367" s="570"/>
      <c r="AI367" s="570"/>
      <c r="AJ367" s="570"/>
      <c r="AK367" s="570"/>
      <c r="AL367" s="570"/>
      <c r="AM367" s="570"/>
      <c r="AN367" s="570"/>
      <c r="AO367" s="570"/>
      <c r="AP367" s="570"/>
      <c r="AQ367" s="570"/>
      <c r="AR367" s="570"/>
      <c r="AS367" s="570"/>
      <c r="AT367" s="570"/>
      <c r="AU367" s="570"/>
    </row>
    <row r="368" spans="1:47" ht="15.75" customHeight="1">
      <c r="A368" s="575">
        <v>44341</v>
      </c>
      <c r="B368" s="576" t="s">
        <v>6474</v>
      </c>
      <c r="C368" s="405" t="s">
        <v>2929</v>
      </c>
      <c r="D368" s="561" t="s">
        <v>6343</v>
      </c>
      <c r="E368" s="573">
        <v>15000</v>
      </c>
      <c r="F368" s="561" t="s">
        <v>3001</v>
      </c>
      <c r="G368" s="571" t="s">
        <v>19</v>
      </c>
      <c r="H368" s="571" t="s">
        <v>35</v>
      </c>
      <c r="I368" s="571" t="s">
        <v>250</v>
      </c>
      <c r="J368" s="571">
        <v>44295</v>
      </c>
      <c r="K368" s="574" t="s">
        <v>3797</v>
      </c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70"/>
      <c r="AH368" s="570"/>
      <c r="AI368" s="570"/>
      <c r="AJ368" s="570"/>
      <c r="AK368" s="570"/>
      <c r="AL368" s="570"/>
      <c r="AM368" s="570"/>
      <c r="AN368" s="570"/>
      <c r="AO368" s="570"/>
      <c r="AP368" s="570"/>
      <c r="AQ368" s="570"/>
      <c r="AR368" s="570"/>
      <c r="AS368" s="570"/>
      <c r="AT368" s="570"/>
      <c r="AU368" s="570"/>
    </row>
    <row r="369" spans="1:47" ht="15.75" customHeight="1">
      <c r="A369" s="575">
        <v>44341</v>
      </c>
      <c r="B369" s="576" t="s">
        <v>6351</v>
      </c>
      <c r="C369" s="405" t="s">
        <v>2929</v>
      </c>
      <c r="D369" s="561" t="s">
        <v>6343</v>
      </c>
      <c r="E369" s="573">
        <v>10000</v>
      </c>
      <c r="F369" s="561" t="s">
        <v>3235</v>
      </c>
      <c r="G369" s="571" t="s">
        <v>2931</v>
      </c>
      <c r="H369" s="571" t="s">
        <v>20</v>
      </c>
      <c r="I369" s="571" t="s">
        <v>2932</v>
      </c>
      <c r="J369" s="571">
        <v>43605</v>
      </c>
      <c r="K369" s="574" t="s">
        <v>3813</v>
      </c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70"/>
      <c r="AH369" s="570"/>
      <c r="AI369" s="570"/>
      <c r="AJ369" s="570"/>
      <c r="AK369" s="570"/>
      <c r="AL369" s="570"/>
      <c r="AM369" s="570"/>
      <c r="AN369" s="570"/>
      <c r="AO369" s="570"/>
      <c r="AP369" s="570"/>
      <c r="AQ369" s="570"/>
      <c r="AR369" s="570"/>
      <c r="AS369" s="570"/>
      <c r="AT369" s="570"/>
      <c r="AU369" s="570"/>
    </row>
    <row r="370" spans="1:47" ht="15.75" customHeight="1">
      <c r="A370" s="575">
        <v>44342</v>
      </c>
      <c r="B370" s="576" t="s">
        <v>6357</v>
      </c>
      <c r="C370" s="405" t="s">
        <v>2929</v>
      </c>
      <c r="D370" s="561" t="s">
        <v>921</v>
      </c>
      <c r="E370" s="573">
        <v>4300</v>
      </c>
      <c r="F370" s="561" t="s">
        <v>3243</v>
      </c>
      <c r="G370" s="571" t="s">
        <v>2931</v>
      </c>
      <c r="H370" s="571" t="s">
        <v>20</v>
      </c>
      <c r="I370" s="571" t="s">
        <v>2938</v>
      </c>
      <c r="J370" s="571">
        <v>43559</v>
      </c>
      <c r="K370" s="574" t="s">
        <v>4196</v>
      </c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70"/>
      <c r="AH370" s="570"/>
      <c r="AI370" s="570"/>
      <c r="AJ370" s="570"/>
      <c r="AK370" s="570"/>
      <c r="AL370" s="570"/>
      <c r="AM370" s="570"/>
      <c r="AN370" s="570"/>
      <c r="AO370" s="570"/>
      <c r="AP370" s="570"/>
      <c r="AQ370" s="570"/>
      <c r="AR370" s="570"/>
      <c r="AS370" s="570"/>
      <c r="AT370" s="570"/>
      <c r="AU370" s="570"/>
    </row>
    <row r="371" spans="1:47" ht="15.75" customHeight="1">
      <c r="A371" s="575">
        <v>44342</v>
      </c>
      <c r="B371" s="576" t="s">
        <v>6475</v>
      </c>
      <c r="C371" s="405" t="s">
        <v>2929</v>
      </c>
      <c r="D371" s="561" t="s">
        <v>6343</v>
      </c>
      <c r="E371" s="573">
        <v>50000</v>
      </c>
      <c r="F371" s="561" t="s">
        <v>3339</v>
      </c>
      <c r="G371" s="571" t="s">
        <v>19</v>
      </c>
      <c r="H371" s="571" t="s">
        <v>35</v>
      </c>
      <c r="I371" s="571" t="s">
        <v>250</v>
      </c>
      <c r="J371" s="571">
        <v>44322</v>
      </c>
      <c r="K371" s="574" t="s">
        <v>3803</v>
      </c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70"/>
      <c r="AH371" s="570"/>
      <c r="AI371" s="570"/>
      <c r="AJ371" s="570"/>
      <c r="AK371" s="570"/>
      <c r="AL371" s="570"/>
      <c r="AM371" s="570"/>
      <c r="AN371" s="570"/>
      <c r="AO371" s="570"/>
      <c r="AP371" s="570"/>
      <c r="AQ371" s="570"/>
      <c r="AR371" s="570"/>
      <c r="AS371" s="570"/>
      <c r="AT371" s="570"/>
      <c r="AU371" s="570"/>
    </row>
    <row r="372" spans="1:47" ht="15.75" customHeight="1">
      <c r="A372" s="575">
        <v>44342</v>
      </c>
      <c r="B372" s="576" t="s">
        <v>6476</v>
      </c>
      <c r="C372" s="405" t="s">
        <v>2929</v>
      </c>
      <c r="D372" s="561" t="s">
        <v>6343</v>
      </c>
      <c r="E372" s="573">
        <v>0</v>
      </c>
      <c r="F372" s="561" t="s">
        <v>3245</v>
      </c>
      <c r="G372" s="571" t="s">
        <v>19</v>
      </c>
      <c r="H372" s="571" t="s">
        <v>35</v>
      </c>
      <c r="I372" s="571" t="s">
        <v>2979</v>
      </c>
      <c r="J372" s="571">
        <v>44266</v>
      </c>
      <c r="K372" s="574" t="s">
        <v>3813</v>
      </c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70"/>
      <c r="AH372" s="570"/>
      <c r="AI372" s="570"/>
      <c r="AJ372" s="570"/>
      <c r="AK372" s="570"/>
      <c r="AL372" s="570"/>
      <c r="AM372" s="570"/>
      <c r="AN372" s="570"/>
      <c r="AO372" s="570"/>
      <c r="AP372" s="570"/>
      <c r="AQ372" s="570"/>
      <c r="AR372" s="570"/>
      <c r="AS372" s="570"/>
      <c r="AT372" s="570"/>
      <c r="AU372" s="570"/>
    </row>
    <row r="373" spans="1:47" ht="15.75" customHeight="1">
      <c r="A373" s="575">
        <v>44342</v>
      </c>
      <c r="B373" s="576" t="s">
        <v>6349</v>
      </c>
      <c r="C373" s="405" t="s">
        <v>2929</v>
      </c>
      <c r="D373" s="561" t="s">
        <v>6343</v>
      </c>
      <c r="E373" s="573">
        <v>40000</v>
      </c>
      <c r="F373" s="561" t="s">
        <v>3198</v>
      </c>
      <c r="G373" s="571" t="s">
        <v>2931</v>
      </c>
      <c r="H373" s="571" t="s">
        <v>20</v>
      </c>
      <c r="I373" s="571" t="s">
        <v>2932</v>
      </c>
      <c r="J373" s="571">
        <v>43703</v>
      </c>
      <c r="K373" s="574" t="s">
        <v>4196</v>
      </c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70"/>
      <c r="AH373" s="570"/>
      <c r="AI373" s="570"/>
      <c r="AJ373" s="570"/>
      <c r="AK373" s="570"/>
      <c r="AL373" s="570"/>
      <c r="AM373" s="570"/>
      <c r="AN373" s="570"/>
      <c r="AO373" s="570"/>
      <c r="AP373" s="570"/>
      <c r="AQ373" s="570"/>
      <c r="AR373" s="570"/>
      <c r="AS373" s="570"/>
      <c r="AT373" s="570"/>
      <c r="AU373" s="570"/>
    </row>
    <row r="374" spans="1:47" ht="15.75" customHeight="1">
      <c r="A374" s="575">
        <v>44342</v>
      </c>
      <c r="B374" s="576" t="s">
        <v>6357</v>
      </c>
      <c r="C374" s="405" t="s">
        <v>2929</v>
      </c>
      <c r="D374" s="561" t="s">
        <v>6343</v>
      </c>
      <c r="E374" s="573">
        <v>17000</v>
      </c>
      <c r="F374" s="561" t="s">
        <v>3243</v>
      </c>
      <c r="G374" s="571" t="s">
        <v>2931</v>
      </c>
      <c r="H374" s="571" t="s">
        <v>20</v>
      </c>
      <c r="I374" s="571" t="s">
        <v>2938</v>
      </c>
      <c r="J374" s="571">
        <v>43559</v>
      </c>
      <c r="K374" s="574" t="s">
        <v>4196</v>
      </c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70"/>
      <c r="AH374" s="570"/>
      <c r="AI374" s="570"/>
      <c r="AJ374" s="570"/>
      <c r="AK374" s="570"/>
      <c r="AL374" s="570"/>
      <c r="AM374" s="570"/>
      <c r="AN374" s="570"/>
      <c r="AO374" s="570"/>
      <c r="AP374" s="570"/>
      <c r="AQ374" s="570"/>
      <c r="AR374" s="570"/>
      <c r="AS374" s="570"/>
      <c r="AT374" s="570"/>
      <c r="AU374" s="570"/>
    </row>
    <row r="375" spans="1:47" ht="15.75" customHeight="1">
      <c r="A375" s="575">
        <v>44343</v>
      </c>
      <c r="B375" s="576" t="s">
        <v>6475</v>
      </c>
      <c r="C375" s="405" t="s">
        <v>2929</v>
      </c>
      <c r="D375" s="561" t="s">
        <v>6343</v>
      </c>
      <c r="E375" s="573">
        <v>40000</v>
      </c>
      <c r="F375" s="561" t="s">
        <v>3339</v>
      </c>
      <c r="G375" s="571" t="s">
        <v>19</v>
      </c>
      <c r="H375" s="571" t="s">
        <v>35</v>
      </c>
      <c r="I375" s="571" t="s">
        <v>250</v>
      </c>
      <c r="J375" s="571">
        <v>44322</v>
      </c>
      <c r="K375" s="574" t="s">
        <v>3803</v>
      </c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70"/>
      <c r="AH375" s="570"/>
      <c r="AI375" s="570"/>
      <c r="AJ375" s="570"/>
      <c r="AK375" s="570"/>
      <c r="AL375" s="570"/>
      <c r="AM375" s="570"/>
      <c r="AN375" s="570"/>
      <c r="AO375" s="570"/>
      <c r="AP375" s="570"/>
      <c r="AQ375" s="570"/>
      <c r="AR375" s="570"/>
      <c r="AS375" s="570"/>
      <c r="AT375" s="570"/>
      <c r="AU375" s="570"/>
    </row>
    <row r="376" spans="1:47" ht="15.75" customHeight="1">
      <c r="A376" s="575">
        <v>44344</v>
      </c>
      <c r="B376" s="576" t="s">
        <v>6477</v>
      </c>
      <c r="C376" s="405" t="s">
        <v>2929</v>
      </c>
      <c r="D376" s="561" t="s">
        <v>6343</v>
      </c>
      <c r="E376" s="573">
        <v>150000</v>
      </c>
      <c r="F376" s="561" t="s">
        <v>3472</v>
      </c>
      <c r="G376" s="571" t="s">
        <v>19</v>
      </c>
      <c r="H376" s="571" t="s">
        <v>35</v>
      </c>
      <c r="I376" s="571" t="s">
        <v>250</v>
      </c>
      <c r="J376" s="571">
        <v>44319</v>
      </c>
      <c r="K376" s="574" t="s">
        <v>3803</v>
      </c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70"/>
      <c r="AH376" s="570"/>
      <c r="AI376" s="570"/>
      <c r="AJ376" s="570"/>
      <c r="AK376" s="570"/>
      <c r="AL376" s="570"/>
      <c r="AM376" s="570"/>
      <c r="AN376" s="570"/>
      <c r="AO376" s="570"/>
      <c r="AP376" s="570"/>
      <c r="AQ376" s="570"/>
      <c r="AR376" s="570"/>
      <c r="AS376" s="570"/>
      <c r="AT376" s="570"/>
      <c r="AU376" s="570"/>
    </row>
    <row r="377" spans="1:47" ht="15.75" customHeight="1">
      <c r="A377" s="575">
        <v>44344</v>
      </c>
      <c r="B377" s="576" t="s">
        <v>6351</v>
      </c>
      <c r="C377" s="405" t="s">
        <v>2929</v>
      </c>
      <c r="D377" s="561" t="s">
        <v>6343</v>
      </c>
      <c r="E377" s="573">
        <v>280000</v>
      </c>
      <c r="F377" s="561" t="s">
        <v>3235</v>
      </c>
      <c r="G377" s="571" t="s">
        <v>2931</v>
      </c>
      <c r="H377" s="571" t="s">
        <v>20</v>
      </c>
      <c r="I377" s="571" t="s">
        <v>2932</v>
      </c>
      <c r="J377" s="571">
        <v>43605</v>
      </c>
      <c r="K377" s="574" t="s">
        <v>3813</v>
      </c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70"/>
      <c r="AH377" s="570"/>
      <c r="AI377" s="570"/>
      <c r="AJ377" s="570"/>
      <c r="AK377" s="570"/>
      <c r="AL377" s="570"/>
      <c r="AM377" s="570"/>
      <c r="AN377" s="570"/>
      <c r="AO377" s="570"/>
      <c r="AP377" s="570"/>
      <c r="AQ377" s="570"/>
      <c r="AR377" s="570"/>
      <c r="AS377" s="570"/>
      <c r="AT377" s="570"/>
      <c r="AU377" s="570"/>
    </row>
    <row r="378" spans="1:47" ht="15.75" customHeight="1">
      <c r="A378" s="575">
        <v>44347</v>
      </c>
      <c r="B378" s="576" t="s">
        <v>6478</v>
      </c>
      <c r="C378" s="405" t="s">
        <v>2929</v>
      </c>
      <c r="D378" s="561" t="s">
        <v>6343</v>
      </c>
      <c r="E378" s="573">
        <v>2000</v>
      </c>
      <c r="F378" s="561" t="s">
        <v>2479</v>
      </c>
      <c r="G378" s="571" t="s">
        <v>19</v>
      </c>
      <c r="H378" s="571" t="s">
        <v>35</v>
      </c>
      <c r="I378" s="571" t="s">
        <v>199</v>
      </c>
      <c r="J378" s="571">
        <v>44280</v>
      </c>
      <c r="K378" s="574" t="s">
        <v>3797</v>
      </c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70"/>
      <c r="AH378" s="570"/>
      <c r="AI378" s="570"/>
      <c r="AJ378" s="570"/>
      <c r="AK378" s="570"/>
      <c r="AL378" s="570"/>
      <c r="AM378" s="570"/>
      <c r="AN378" s="570"/>
      <c r="AO378" s="570"/>
      <c r="AP378" s="570"/>
      <c r="AQ378" s="570"/>
      <c r="AR378" s="570"/>
      <c r="AS378" s="570"/>
      <c r="AT378" s="570"/>
      <c r="AU378" s="570"/>
    </row>
    <row r="379" spans="1:47" ht="15.75" customHeight="1">
      <c r="A379" s="575">
        <v>44347</v>
      </c>
      <c r="B379" s="576" t="s">
        <v>3623</v>
      </c>
      <c r="C379" s="405" t="s">
        <v>3613</v>
      </c>
      <c r="D379" s="561" t="s">
        <v>921</v>
      </c>
      <c r="E379" s="573">
        <v>57300</v>
      </c>
      <c r="F379" s="561" t="s">
        <v>3622</v>
      </c>
      <c r="G379" s="571" t="s">
        <v>19</v>
      </c>
      <c r="H379" s="571" t="s">
        <v>20</v>
      </c>
      <c r="I379" s="571" t="s">
        <v>3624</v>
      </c>
      <c r="J379" s="571">
        <v>43759</v>
      </c>
      <c r="K379" s="574" t="s">
        <v>5227</v>
      </c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70"/>
      <c r="AH379" s="570"/>
      <c r="AI379" s="570"/>
      <c r="AJ379" s="570"/>
      <c r="AK379" s="570"/>
      <c r="AL379" s="570"/>
      <c r="AM379" s="570"/>
      <c r="AN379" s="570"/>
      <c r="AO379" s="570"/>
      <c r="AP379" s="570"/>
      <c r="AQ379" s="570"/>
      <c r="AR379" s="570"/>
      <c r="AS379" s="570"/>
      <c r="AT379" s="570"/>
      <c r="AU379" s="570"/>
    </row>
    <row r="380" spans="1:47" ht="15.75" customHeight="1">
      <c r="A380" s="575">
        <v>44347</v>
      </c>
      <c r="B380" s="576" t="s">
        <v>6479</v>
      </c>
      <c r="C380" s="405" t="s">
        <v>2929</v>
      </c>
      <c r="D380" s="561" t="s">
        <v>6343</v>
      </c>
      <c r="E380" s="573">
        <v>13000</v>
      </c>
      <c r="F380" s="561" t="s">
        <v>1937</v>
      </c>
      <c r="G380" s="571" t="s">
        <v>19</v>
      </c>
      <c r="H380" s="571" t="s">
        <v>35</v>
      </c>
      <c r="I380" s="571" t="s">
        <v>199</v>
      </c>
      <c r="J380" s="571">
        <v>44322</v>
      </c>
      <c r="K380" s="574" t="s">
        <v>3803</v>
      </c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70"/>
      <c r="AH380" s="570"/>
      <c r="AI380" s="570"/>
      <c r="AJ380" s="570"/>
      <c r="AK380" s="570"/>
      <c r="AL380" s="570"/>
      <c r="AM380" s="570"/>
      <c r="AN380" s="570"/>
      <c r="AO380" s="570"/>
      <c r="AP380" s="570"/>
      <c r="AQ380" s="570"/>
      <c r="AR380" s="570"/>
      <c r="AS380" s="570"/>
      <c r="AT380" s="570"/>
      <c r="AU380" s="570"/>
    </row>
    <row r="381" spans="1:47" ht="15.75" customHeight="1">
      <c r="A381" s="575">
        <v>44348</v>
      </c>
      <c r="B381" s="576" t="s">
        <v>6444</v>
      </c>
      <c r="C381" s="405" t="s">
        <v>3793</v>
      </c>
      <c r="D381" s="561" t="s">
        <v>6343</v>
      </c>
      <c r="E381" s="573">
        <v>50000</v>
      </c>
      <c r="F381" s="561" t="s">
        <v>5095</v>
      </c>
      <c r="G381" s="561" t="s">
        <v>46</v>
      </c>
      <c r="H381" s="561" t="s">
        <v>20</v>
      </c>
      <c r="I381" s="561" t="s">
        <v>4480</v>
      </c>
      <c r="J381" s="591">
        <v>44180</v>
      </c>
      <c r="K381" s="577" t="s">
        <v>3803</v>
      </c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70"/>
      <c r="AH381" s="570"/>
      <c r="AI381" s="570"/>
      <c r="AJ381" s="570"/>
      <c r="AK381" s="570"/>
      <c r="AL381" s="570"/>
      <c r="AM381" s="570"/>
      <c r="AN381" s="570"/>
      <c r="AO381" s="570"/>
      <c r="AP381" s="570"/>
      <c r="AQ381" s="570"/>
      <c r="AR381" s="570"/>
      <c r="AS381" s="570"/>
      <c r="AT381" s="570"/>
      <c r="AU381" s="570"/>
    </row>
    <row r="382" spans="1:47" ht="15.75" customHeight="1">
      <c r="A382" s="575">
        <v>44348</v>
      </c>
      <c r="B382" s="576" t="s">
        <v>6410</v>
      </c>
      <c r="C382" s="405" t="s">
        <v>2929</v>
      </c>
      <c r="D382" s="561" t="s">
        <v>6343</v>
      </c>
      <c r="E382" s="573">
        <v>40000</v>
      </c>
      <c r="F382" s="561" t="s">
        <v>850</v>
      </c>
      <c r="G382" s="571" t="s">
        <v>19</v>
      </c>
      <c r="H382" s="571" t="s">
        <v>35</v>
      </c>
      <c r="I382" s="571" t="s">
        <v>199</v>
      </c>
      <c r="J382" s="571">
        <v>44321</v>
      </c>
      <c r="K382" s="574" t="s">
        <v>3803</v>
      </c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70"/>
      <c r="AH382" s="570"/>
      <c r="AI382" s="570"/>
      <c r="AJ382" s="570"/>
      <c r="AK382" s="570"/>
      <c r="AL382" s="570"/>
      <c r="AM382" s="570"/>
      <c r="AN382" s="570"/>
      <c r="AO382" s="570"/>
      <c r="AP382" s="570"/>
      <c r="AQ382" s="570"/>
      <c r="AR382" s="570"/>
      <c r="AS382" s="570"/>
      <c r="AT382" s="570"/>
      <c r="AU382" s="570"/>
    </row>
    <row r="383" spans="1:47" ht="15.75" customHeight="1">
      <c r="A383" s="575">
        <v>44349</v>
      </c>
      <c r="B383" s="576" t="s">
        <v>6479</v>
      </c>
      <c r="C383" s="405" t="s">
        <v>2929</v>
      </c>
      <c r="D383" s="561" t="s">
        <v>6343</v>
      </c>
      <c r="E383" s="573">
        <v>10000</v>
      </c>
      <c r="F383" s="561" t="s">
        <v>1937</v>
      </c>
      <c r="G383" s="571" t="s">
        <v>19</v>
      </c>
      <c r="H383" s="571" t="s">
        <v>35</v>
      </c>
      <c r="I383" s="571" t="s">
        <v>199</v>
      </c>
      <c r="J383" s="571">
        <v>44322</v>
      </c>
      <c r="K383" s="574" t="s">
        <v>3803</v>
      </c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70"/>
      <c r="AH383" s="570"/>
      <c r="AI383" s="570"/>
      <c r="AJ383" s="570"/>
      <c r="AK383" s="570"/>
      <c r="AL383" s="570"/>
      <c r="AM383" s="570"/>
      <c r="AN383" s="570"/>
      <c r="AO383" s="570"/>
      <c r="AP383" s="570"/>
      <c r="AQ383" s="570"/>
      <c r="AR383" s="570"/>
      <c r="AS383" s="570"/>
      <c r="AT383" s="570"/>
      <c r="AU383" s="570"/>
    </row>
    <row r="384" spans="1:47" ht="15.75" customHeight="1">
      <c r="A384" s="575">
        <v>44349</v>
      </c>
      <c r="B384" s="576" t="s">
        <v>6480</v>
      </c>
      <c r="C384" s="405" t="s">
        <v>2929</v>
      </c>
      <c r="D384" s="561" t="s">
        <v>6343</v>
      </c>
      <c r="E384" s="573">
        <v>31306.959999999999</v>
      </c>
      <c r="F384" s="561" t="s">
        <v>3088</v>
      </c>
      <c r="G384" s="571" t="s">
        <v>19</v>
      </c>
      <c r="H384" s="571" t="s">
        <v>35</v>
      </c>
      <c r="I384" s="571" t="s">
        <v>199</v>
      </c>
      <c r="J384" s="571">
        <v>44328</v>
      </c>
      <c r="K384" s="574" t="s">
        <v>3803</v>
      </c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70"/>
      <c r="AH384" s="570"/>
      <c r="AI384" s="570"/>
      <c r="AJ384" s="570"/>
      <c r="AK384" s="570"/>
      <c r="AL384" s="570"/>
      <c r="AM384" s="570"/>
      <c r="AN384" s="570"/>
      <c r="AO384" s="570"/>
      <c r="AP384" s="570"/>
      <c r="AQ384" s="570"/>
      <c r="AR384" s="570"/>
      <c r="AS384" s="570"/>
      <c r="AT384" s="570"/>
      <c r="AU384" s="570"/>
    </row>
    <row r="385" spans="1:47" ht="15.75" customHeight="1">
      <c r="A385" s="575">
        <v>44351</v>
      </c>
      <c r="B385" s="576" t="s">
        <v>6481</v>
      </c>
      <c r="C385" s="405" t="s">
        <v>2929</v>
      </c>
      <c r="D385" s="561" t="s">
        <v>6343</v>
      </c>
      <c r="E385" s="573">
        <v>9000</v>
      </c>
      <c r="F385" s="561" t="s">
        <v>3041</v>
      </c>
      <c r="G385" s="571" t="s">
        <v>19</v>
      </c>
      <c r="H385" s="571" t="s">
        <v>35</v>
      </c>
      <c r="I385" s="571" t="s">
        <v>2979</v>
      </c>
      <c r="J385" s="571">
        <v>44260</v>
      </c>
      <c r="K385" s="574" t="s">
        <v>3803</v>
      </c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70"/>
      <c r="AH385" s="570"/>
      <c r="AI385" s="570"/>
      <c r="AJ385" s="570"/>
      <c r="AK385" s="570"/>
      <c r="AL385" s="570"/>
      <c r="AM385" s="570"/>
      <c r="AN385" s="570"/>
      <c r="AO385" s="570"/>
      <c r="AP385" s="570"/>
      <c r="AQ385" s="570"/>
      <c r="AR385" s="570"/>
      <c r="AS385" s="570"/>
      <c r="AT385" s="570"/>
      <c r="AU385" s="570"/>
    </row>
    <row r="386" spans="1:47" ht="15.75" customHeight="1">
      <c r="A386" s="575">
        <v>44351</v>
      </c>
      <c r="B386" s="576" t="s">
        <v>6370</v>
      </c>
      <c r="C386" s="405" t="s">
        <v>2929</v>
      </c>
      <c r="D386" s="561" t="s">
        <v>6343</v>
      </c>
      <c r="E386" s="573">
        <v>40000</v>
      </c>
      <c r="F386" s="561" t="s">
        <v>3356</v>
      </c>
      <c r="G386" s="571" t="s">
        <v>2931</v>
      </c>
      <c r="H386" s="571" t="s">
        <v>20</v>
      </c>
      <c r="I386" s="571" t="s">
        <v>2932</v>
      </c>
      <c r="J386" s="571">
        <v>43564</v>
      </c>
      <c r="K386" s="574" t="s">
        <v>3817</v>
      </c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70"/>
      <c r="AH386" s="570"/>
      <c r="AI386" s="570"/>
      <c r="AJ386" s="570"/>
      <c r="AK386" s="570"/>
      <c r="AL386" s="570"/>
      <c r="AM386" s="570"/>
      <c r="AN386" s="570"/>
      <c r="AO386" s="570"/>
      <c r="AP386" s="570"/>
      <c r="AQ386" s="570"/>
      <c r="AR386" s="570"/>
      <c r="AS386" s="570"/>
      <c r="AT386" s="570"/>
      <c r="AU386" s="570"/>
    </row>
    <row r="387" spans="1:47" ht="15.75" customHeight="1">
      <c r="A387" s="575">
        <v>44353</v>
      </c>
      <c r="B387" s="576" t="s">
        <v>6482</v>
      </c>
      <c r="C387" s="405" t="s">
        <v>3793</v>
      </c>
      <c r="D387" s="561" t="s">
        <v>6343</v>
      </c>
      <c r="E387" s="573">
        <v>506343.93</v>
      </c>
      <c r="F387" s="561" t="s">
        <v>3943</v>
      </c>
      <c r="G387" s="561" t="s">
        <v>19</v>
      </c>
      <c r="H387" s="561" t="s">
        <v>66</v>
      </c>
      <c r="I387" s="561" t="s">
        <v>316</v>
      </c>
      <c r="J387" s="594">
        <v>44298</v>
      </c>
      <c r="K387" s="577" t="s">
        <v>3813</v>
      </c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70"/>
      <c r="AH387" s="570"/>
      <c r="AI387" s="570"/>
      <c r="AJ387" s="570"/>
      <c r="AK387" s="570"/>
      <c r="AL387" s="570"/>
      <c r="AM387" s="570"/>
      <c r="AN387" s="570"/>
      <c r="AO387" s="570"/>
      <c r="AP387" s="570"/>
      <c r="AQ387" s="570"/>
      <c r="AR387" s="570"/>
      <c r="AS387" s="570"/>
      <c r="AT387" s="570"/>
      <c r="AU387" s="570"/>
    </row>
    <row r="388" spans="1:47" ht="15.75" customHeight="1">
      <c r="A388" s="575">
        <v>44354</v>
      </c>
      <c r="B388" s="576" t="s">
        <v>6483</v>
      </c>
      <c r="C388" s="405" t="s">
        <v>2929</v>
      </c>
      <c r="D388" s="561" t="s">
        <v>6343</v>
      </c>
      <c r="E388" s="573">
        <v>5000</v>
      </c>
      <c r="F388" s="561" t="s">
        <v>3207</v>
      </c>
      <c r="G388" s="571" t="s">
        <v>2931</v>
      </c>
      <c r="H388" s="571" t="s">
        <v>20</v>
      </c>
      <c r="I388" s="571" t="s">
        <v>2938</v>
      </c>
      <c r="J388" s="571">
        <v>43752</v>
      </c>
      <c r="K388" s="574" t="s">
        <v>3803</v>
      </c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70"/>
      <c r="AH388" s="570"/>
      <c r="AI388" s="570"/>
      <c r="AJ388" s="570"/>
      <c r="AK388" s="570"/>
      <c r="AL388" s="570"/>
      <c r="AM388" s="570"/>
      <c r="AN388" s="570"/>
      <c r="AO388" s="570"/>
      <c r="AP388" s="570"/>
      <c r="AQ388" s="570"/>
      <c r="AR388" s="570"/>
      <c r="AS388" s="570"/>
      <c r="AT388" s="570"/>
      <c r="AU388" s="570"/>
    </row>
    <row r="389" spans="1:47" ht="15.75" customHeight="1">
      <c r="A389" s="575">
        <v>44355</v>
      </c>
      <c r="B389" s="576" t="s">
        <v>6370</v>
      </c>
      <c r="C389" s="405" t="s">
        <v>2929</v>
      </c>
      <c r="D389" s="561" t="s">
        <v>6343</v>
      </c>
      <c r="E389" s="573">
        <v>50000</v>
      </c>
      <c r="F389" s="561" t="s">
        <v>3356</v>
      </c>
      <c r="G389" s="571" t="s">
        <v>2931</v>
      </c>
      <c r="H389" s="571" t="s">
        <v>20</v>
      </c>
      <c r="I389" s="571" t="s">
        <v>2932</v>
      </c>
      <c r="J389" s="571">
        <v>43564</v>
      </c>
      <c r="K389" s="574" t="s">
        <v>3817</v>
      </c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70"/>
      <c r="AH389" s="570"/>
      <c r="AI389" s="570"/>
      <c r="AJ389" s="570"/>
      <c r="AK389" s="570"/>
      <c r="AL389" s="570"/>
      <c r="AM389" s="570"/>
      <c r="AN389" s="570"/>
      <c r="AO389" s="570"/>
      <c r="AP389" s="570"/>
      <c r="AQ389" s="570"/>
      <c r="AR389" s="570"/>
      <c r="AS389" s="570"/>
      <c r="AT389" s="570"/>
      <c r="AU389" s="570"/>
    </row>
    <row r="390" spans="1:47" ht="15.75" customHeight="1">
      <c r="A390" s="575">
        <v>44355</v>
      </c>
      <c r="B390" s="576" t="s">
        <v>6411</v>
      </c>
      <c r="C390" s="405" t="s">
        <v>2929</v>
      </c>
      <c r="D390" s="561" t="s">
        <v>6343</v>
      </c>
      <c r="E390" s="573">
        <v>15000</v>
      </c>
      <c r="F390" s="561" t="s">
        <v>3264</v>
      </c>
      <c r="G390" s="571" t="s">
        <v>19</v>
      </c>
      <c r="H390" s="571" t="s">
        <v>35</v>
      </c>
      <c r="I390" s="571" t="s">
        <v>199</v>
      </c>
      <c r="J390" s="571">
        <v>44295</v>
      </c>
      <c r="K390" s="574" t="s">
        <v>3810</v>
      </c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70"/>
      <c r="AH390" s="570"/>
      <c r="AI390" s="570"/>
      <c r="AJ390" s="570"/>
      <c r="AK390" s="570"/>
      <c r="AL390" s="570"/>
      <c r="AM390" s="570"/>
      <c r="AN390" s="570"/>
      <c r="AO390" s="570"/>
      <c r="AP390" s="570"/>
      <c r="AQ390" s="570"/>
      <c r="AR390" s="570"/>
      <c r="AS390" s="570"/>
      <c r="AT390" s="570"/>
      <c r="AU390" s="570"/>
    </row>
    <row r="391" spans="1:47" ht="15.75" customHeight="1">
      <c r="A391" s="575">
        <v>44355</v>
      </c>
      <c r="B391" s="576" t="s">
        <v>6484</v>
      </c>
      <c r="C391" s="405" t="s">
        <v>2929</v>
      </c>
      <c r="D391" s="561" t="s">
        <v>921</v>
      </c>
      <c r="E391" s="573">
        <v>30000</v>
      </c>
      <c r="F391" s="561" t="s">
        <v>3352</v>
      </c>
      <c r="G391" s="571" t="s">
        <v>2931</v>
      </c>
      <c r="H391" s="571" t="s">
        <v>20</v>
      </c>
      <c r="I391" s="571" t="s">
        <v>2931</v>
      </c>
      <c r="J391" s="571">
        <v>44036</v>
      </c>
      <c r="K391" s="574" t="s">
        <v>3813</v>
      </c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70"/>
      <c r="AH391" s="570"/>
      <c r="AI391" s="570"/>
      <c r="AJ391" s="570"/>
      <c r="AK391" s="570"/>
      <c r="AL391" s="570"/>
      <c r="AM391" s="570"/>
      <c r="AN391" s="570"/>
      <c r="AO391" s="570"/>
      <c r="AP391" s="570"/>
      <c r="AQ391" s="570"/>
      <c r="AR391" s="570"/>
      <c r="AS391" s="570"/>
      <c r="AT391" s="570"/>
      <c r="AU391" s="570"/>
    </row>
    <row r="392" spans="1:47" ht="15.75" customHeight="1">
      <c r="A392" s="575">
        <v>44355</v>
      </c>
      <c r="B392" s="576" t="s">
        <v>6349</v>
      </c>
      <c r="C392" s="405" t="s">
        <v>2929</v>
      </c>
      <c r="D392" s="561" t="s">
        <v>6343</v>
      </c>
      <c r="E392" s="573">
        <v>600000</v>
      </c>
      <c r="F392" s="561" t="s">
        <v>3198</v>
      </c>
      <c r="G392" s="571" t="s">
        <v>2931</v>
      </c>
      <c r="H392" s="571" t="s">
        <v>20</v>
      </c>
      <c r="I392" s="571" t="s">
        <v>2932</v>
      </c>
      <c r="J392" s="571">
        <v>43703</v>
      </c>
      <c r="K392" s="574" t="s">
        <v>4196</v>
      </c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70"/>
      <c r="AH392" s="570"/>
      <c r="AI392" s="570"/>
      <c r="AJ392" s="570"/>
      <c r="AK392" s="570"/>
      <c r="AL392" s="570"/>
      <c r="AM392" s="570"/>
      <c r="AN392" s="570"/>
      <c r="AO392" s="570"/>
      <c r="AP392" s="570"/>
      <c r="AQ392" s="570"/>
      <c r="AR392" s="570"/>
      <c r="AS392" s="570"/>
      <c r="AT392" s="570"/>
      <c r="AU392" s="570"/>
    </row>
    <row r="393" spans="1:47" ht="15.75" customHeight="1">
      <c r="A393" s="575">
        <v>44355</v>
      </c>
      <c r="B393" s="576" t="s">
        <v>6442</v>
      </c>
      <c r="C393" s="405" t="s">
        <v>3793</v>
      </c>
      <c r="D393" s="561" t="s">
        <v>6343</v>
      </c>
      <c r="E393" s="573">
        <v>40000</v>
      </c>
      <c r="F393" s="561" t="s">
        <v>5398</v>
      </c>
      <c r="G393" s="561" t="s">
        <v>46</v>
      </c>
      <c r="H393" s="561" t="s">
        <v>20</v>
      </c>
      <c r="I393" s="561" t="s">
        <v>56</v>
      </c>
      <c r="J393" s="571">
        <v>44134</v>
      </c>
      <c r="K393" s="577" t="s">
        <v>3797</v>
      </c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70"/>
      <c r="AH393" s="570"/>
      <c r="AI393" s="570"/>
      <c r="AJ393" s="570"/>
      <c r="AK393" s="570"/>
      <c r="AL393" s="570"/>
      <c r="AM393" s="570"/>
      <c r="AN393" s="570"/>
      <c r="AO393" s="570"/>
      <c r="AP393" s="570"/>
      <c r="AQ393" s="570"/>
      <c r="AR393" s="570"/>
      <c r="AS393" s="570"/>
      <c r="AT393" s="570"/>
      <c r="AU393" s="570"/>
    </row>
    <row r="394" spans="1:47" ht="15.75" customHeight="1">
      <c r="A394" s="575">
        <v>44358</v>
      </c>
      <c r="B394" s="576" t="s">
        <v>6485</v>
      </c>
      <c r="C394" s="405" t="s">
        <v>3793</v>
      </c>
      <c r="D394" s="561" t="s">
        <v>921</v>
      </c>
      <c r="E394" s="573">
        <v>15000</v>
      </c>
      <c r="F394" s="561" t="s">
        <v>4244</v>
      </c>
      <c r="G394" s="561" t="s">
        <v>46</v>
      </c>
      <c r="H394" s="561" t="s">
        <v>20</v>
      </c>
      <c r="I394" s="561" t="s">
        <v>56</v>
      </c>
      <c r="J394" s="571">
        <v>44194</v>
      </c>
      <c r="K394" s="577" t="s">
        <v>3803</v>
      </c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70"/>
      <c r="AH394" s="570"/>
      <c r="AI394" s="570"/>
      <c r="AJ394" s="570"/>
      <c r="AK394" s="570"/>
      <c r="AL394" s="570"/>
      <c r="AM394" s="570"/>
      <c r="AN394" s="570"/>
      <c r="AO394" s="570"/>
      <c r="AP394" s="570"/>
      <c r="AQ394" s="570"/>
      <c r="AR394" s="570"/>
      <c r="AS394" s="570"/>
      <c r="AT394" s="570"/>
      <c r="AU394" s="570"/>
    </row>
    <row r="395" spans="1:47" ht="15.75" customHeight="1">
      <c r="A395" s="575">
        <v>44362</v>
      </c>
      <c r="B395" s="576" t="s">
        <v>6349</v>
      </c>
      <c r="C395" s="405" t="s">
        <v>2929</v>
      </c>
      <c r="D395" s="561" t="s">
        <v>6343</v>
      </c>
      <c r="E395" s="573">
        <v>100000</v>
      </c>
      <c r="F395" s="561" t="s">
        <v>3198</v>
      </c>
      <c r="G395" s="571" t="s">
        <v>2931</v>
      </c>
      <c r="H395" s="571" t="s">
        <v>20</v>
      </c>
      <c r="I395" s="571" t="s">
        <v>2932</v>
      </c>
      <c r="J395" s="571">
        <v>43703</v>
      </c>
      <c r="K395" s="574" t="s">
        <v>4196</v>
      </c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70"/>
      <c r="AH395" s="570"/>
      <c r="AI395" s="570"/>
      <c r="AJ395" s="570"/>
      <c r="AK395" s="570"/>
      <c r="AL395" s="570"/>
      <c r="AM395" s="570"/>
      <c r="AN395" s="570"/>
      <c r="AO395" s="570"/>
      <c r="AP395" s="570"/>
      <c r="AQ395" s="570"/>
      <c r="AR395" s="570"/>
      <c r="AS395" s="570"/>
      <c r="AT395" s="570"/>
      <c r="AU395" s="570"/>
    </row>
    <row r="396" spans="1:47" ht="15.75" customHeight="1">
      <c r="A396" s="575">
        <v>44362</v>
      </c>
      <c r="B396" s="576" t="s">
        <v>6486</v>
      </c>
      <c r="C396" s="405" t="s">
        <v>2929</v>
      </c>
      <c r="D396" s="561" t="s">
        <v>6343</v>
      </c>
      <c r="E396" s="573">
        <v>5000</v>
      </c>
      <c r="F396" s="561" t="s">
        <v>2951</v>
      </c>
      <c r="G396" s="571" t="s">
        <v>2931</v>
      </c>
      <c r="H396" s="571" t="s">
        <v>20</v>
      </c>
      <c r="I396" s="571" t="s">
        <v>2932</v>
      </c>
      <c r="J396" s="571">
        <v>43753</v>
      </c>
      <c r="K396" s="574" t="s">
        <v>3803</v>
      </c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70"/>
      <c r="AH396" s="570"/>
      <c r="AI396" s="570"/>
      <c r="AJ396" s="570"/>
      <c r="AK396" s="570"/>
      <c r="AL396" s="570"/>
      <c r="AM396" s="570"/>
      <c r="AN396" s="570"/>
      <c r="AO396" s="570"/>
      <c r="AP396" s="570"/>
      <c r="AQ396" s="570"/>
      <c r="AR396" s="570"/>
      <c r="AS396" s="570"/>
      <c r="AT396" s="570"/>
      <c r="AU396" s="570"/>
    </row>
    <row r="397" spans="1:47" ht="15.75" customHeight="1">
      <c r="A397" s="575">
        <v>44362</v>
      </c>
      <c r="B397" s="576" t="s">
        <v>6475</v>
      </c>
      <c r="C397" s="405" t="s">
        <v>2929</v>
      </c>
      <c r="D397" s="561" t="s">
        <v>6343</v>
      </c>
      <c r="E397" s="573">
        <v>312377.96000000002</v>
      </c>
      <c r="F397" s="561" t="s">
        <v>3339</v>
      </c>
      <c r="G397" s="571" t="s">
        <v>19</v>
      </c>
      <c r="H397" s="571" t="s">
        <v>35</v>
      </c>
      <c r="I397" s="571" t="s">
        <v>250</v>
      </c>
      <c r="J397" s="571">
        <v>44322</v>
      </c>
      <c r="K397" s="574" t="s">
        <v>3803</v>
      </c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70"/>
      <c r="AH397" s="570"/>
      <c r="AI397" s="570"/>
      <c r="AJ397" s="570"/>
      <c r="AK397" s="570"/>
      <c r="AL397" s="570"/>
      <c r="AM397" s="570"/>
      <c r="AN397" s="570"/>
      <c r="AO397" s="570"/>
      <c r="AP397" s="570"/>
      <c r="AQ397" s="570"/>
      <c r="AR397" s="570"/>
      <c r="AS397" s="570"/>
      <c r="AT397" s="570"/>
      <c r="AU397" s="570"/>
    </row>
    <row r="398" spans="1:47" ht="15.75" customHeight="1">
      <c r="A398" s="575">
        <v>44362</v>
      </c>
      <c r="B398" s="576" t="s">
        <v>6487</v>
      </c>
      <c r="C398" s="405" t="s">
        <v>2929</v>
      </c>
      <c r="D398" s="561" t="s">
        <v>6343</v>
      </c>
      <c r="E398" s="573">
        <v>15000</v>
      </c>
      <c r="F398" s="561" t="s">
        <v>1318</v>
      </c>
      <c r="G398" s="571" t="s">
        <v>19</v>
      </c>
      <c r="H398" s="571" t="s">
        <v>35</v>
      </c>
      <c r="I398" s="571" t="s">
        <v>199</v>
      </c>
      <c r="J398" s="571">
        <v>44319</v>
      </c>
      <c r="K398" s="574" t="s">
        <v>3803</v>
      </c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70"/>
      <c r="AH398" s="570"/>
      <c r="AI398" s="570"/>
      <c r="AJ398" s="570"/>
      <c r="AK398" s="570"/>
      <c r="AL398" s="570"/>
      <c r="AM398" s="570"/>
      <c r="AN398" s="570"/>
      <c r="AO398" s="570"/>
      <c r="AP398" s="570"/>
      <c r="AQ398" s="570"/>
      <c r="AR398" s="570"/>
      <c r="AS398" s="570"/>
      <c r="AT398" s="570"/>
      <c r="AU398" s="570"/>
    </row>
    <row r="399" spans="1:47" ht="15.75" customHeight="1">
      <c r="A399" s="575">
        <v>44362</v>
      </c>
      <c r="B399" s="576" t="s">
        <v>6488</v>
      </c>
      <c r="C399" s="405" t="s">
        <v>3793</v>
      </c>
      <c r="D399" s="561" t="s">
        <v>6343</v>
      </c>
      <c r="E399" s="573">
        <v>15000</v>
      </c>
      <c r="F399" s="561" t="s">
        <v>4963</v>
      </c>
      <c r="G399" s="561" t="s">
        <v>46</v>
      </c>
      <c r="H399" s="561" t="s">
        <v>20</v>
      </c>
      <c r="I399" s="561" t="s">
        <v>3640</v>
      </c>
      <c r="J399" s="571">
        <v>44090</v>
      </c>
      <c r="K399" s="577" t="s">
        <v>3813</v>
      </c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70"/>
      <c r="AH399" s="570"/>
      <c r="AI399" s="570"/>
      <c r="AJ399" s="570"/>
      <c r="AK399" s="570"/>
      <c r="AL399" s="570"/>
      <c r="AM399" s="570"/>
      <c r="AN399" s="570"/>
      <c r="AO399" s="570"/>
      <c r="AP399" s="570"/>
      <c r="AQ399" s="570"/>
      <c r="AR399" s="570"/>
      <c r="AS399" s="570"/>
      <c r="AT399" s="570"/>
      <c r="AU399" s="570"/>
    </row>
    <row r="400" spans="1:47" ht="15.75" customHeight="1">
      <c r="A400" s="575">
        <v>44363</v>
      </c>
      <c r="B400" s="576" t="s">
        <v>6370</v>
      </c>
      <c r="C400" s="405" t="s">
        <v>2929</v>
      </c>
      <c r="D400" s="561" t="s">
        <v>6343</v>
      </c>
      <c r="E400" s="573">
        <v>40000</v>
      </c>
      <c r="F400" s="561" t="s">
        <v>3356</v>
      </c>
      <c r="G400" s="571" t="s">
        <v>2931</v>
      </c>
      <c r="H400" s="571" t="s">
        <v>20</v>
      </c>
      <c r="I400" s="571" t="s">
        <v>2932</v>
      </c>
      <c r="J400" s="571">
        <v>43564</v>
      </c>
      <c r="K400" s="574" t="s">
        <v>3817</v>
      </c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70"/>
      <c r="AH400" s="570"/>
      <c r="AI400" s="570"/>
      <c r="AJ400" s="570"/>
      <c r="AK400" s="570"/>
      <c r="AL400" s="570"/>
      <c r="AM400" s="570"/>
      <c r="AN400" s="570"/>
      <c r="AO400" s="570"/>
      <c r="AP400" s="570"/>
      <c r="AQ400" s="570"/>
      <c r="AR400" s="570"/>
      <c r="AS400" s="570"/>
      <c r="AT400" s="570"/>
      <c r="AU400" s="570"/>
    </row>
    <row r="401" spans="1:47" ht="15.75" customHeight="1">
      <c r="A401" s="575">
        <v>44364</v>
      </c>
      <c r="B401" s="576" t="s">
        <v>6475</v>
      </c>
      <c r="C401" s="405" t="s">
        <v>2929</v>
      </c>
      <c r="D401" s="561" t="s">
        <v>6343</v>
      </c>
      <c r="E401" s="573">
        <v>11500</v>
      </c>
      <c r="F401" s="561" t="s">
        <v>3339</v>
      </c>
      <c r="G401" s="571" t="s">
        <v>19</v>
      </c>
      <c r="H401" s="571" t="s">
        <v>35</v>
      </c>
      <c r="I401" s="571" t="s">
        <v>250</v>
      </c>
      <c r="J401" s="571">
        <v>44322</v>
      </c>
      <c r="K401" s="574" t="s">
        <v>3803</v>
      </c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70"/>
      <c r="AH401" s="570"/>
      <c r="AI401" s="570"/>
      <c r="AJ401" s="570"/>
      <c r="AK401" s="570"/>
      <c r="AL401" s="570"/>
      <c r="AM401" s="570"/>
      <c r="AN401" s="570"/>
      <c r="AO401" s="570"/>
      <c r="AP401" s="570"/>
      <c r="AQ401" s="570"/>
      <c r="AR401" s="570"/>
      <c r="AS401" s="570"/>
      <c r="AT401" s="570"/>
      <c r="AU401" s="570"/>
    </row>
    <row r="402" spans="1:47" ht="15.75" customHeight="1">
      <c r="A402" s="575">
        <v>44365</v>
      </c>
      <c r="B402" s="576" t="s">
        <v>6474</v>
      </c>
      <c r="C402" s="405" t="s">
        <v>2929</v>
      </c>
      <c r="D402" s="561" t="s">
        <v>6343</v>
      </c>
      <c r="E402" s="573">
        <v>100000</v>
      </c>
      <c r="F402" s="561" t="s">
        <v>3001</v>
      </c>
      <c r="G402" s="571" t="s">
        <v>19</v>
      </c>
      <c r="H402" s="571" t="s">
        <v>35</v>
      </c>
      <c r="I402" s="571" t="s">
        <v>250</v>
      </c>
      <c r="J402" s="571">
        <v>44295</v>
      </c>
      <c r="K402" s="574" t="s">
        <v>3797</v>
      </c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70"/>
      <c r="AH402" s="570"/>
      <c r="AI402" s="570"/>
      <c r="AJ402" s="570"/>
      <c r="AK402" s="570"/>
      <c r="AL402" s="570"/>
      <c r="AM402" s="570"/>
      <c r="AN402" s="570"/>
      <c r="AO402" s="570"/>
      <c r="AP402" s="570"/>
      <c r="AQ402" s="570"/>
      <c r="AR402" s="570"/>
      <c r="AS402" s="570"/>
      <c r="AT402" s="570"/>
      <c r="AU402" s="570"/>
    </row>
    <row r="403" spans="1:47" ht="15.75" customHeight="1">
      <c r="A403" s="575">
        <v>44368</v>
      </c>
      <c r="B403" s="576" t="s">
        <v>6365</v>
      </c>
      <c r="C403" s="405" t="s">
        <v>2929</v>
      </c>
      <c r="D403" s="561" t="s">
        <v>6343</v>
      </c>
      <c r="E403" s="573">
        <v>100000</v>
      </c>
      <c r="F403" s="561" t="s">
        <v>3452</v>
      </c>
      <c r="G403" s="571" t="s">
        <v>2931</v>
      </c>
      <c r="H403" s="571" t="s">
        <v>20</v>
      </c>
      <c r="I403" s="571" t="s">
        <v>2932</v>
      </c>
      <c r="J403" s="571">
        <v>43894</v>
      </c>
      <c r="K403" s="574" t="s">
        <v>3813</v>
      </c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70"/>
      <c r="AH403" s="570"/>
      <c r="AI403" s="570"/>
      <c r="AJ403" s="570"/>
      <c r="AK403" s="570"/>
      <c r="AL403" s="570"/>
      <c r="AM403" s="570"/>
      <c r="AN403" s="570"/>
      <c r="AO403" s="570"/>
      <c r="AP403" s="570"/>
      <c r="AQ403" s="570"/>
      <c r="AR403" s="570"/>
      <c r="AS403" s="570"/>
      <c r="AT403" s="570"/>
      <c r="AU403" s="570"/>
    </row>
    <row r="404" spans="1:47" ht="15.75" customHeight="1">
      <c r="A404" s="575">
        <v>44368</v>
      </c>
      <c r="B404" s="576" t="s">
        <v>6489</v>
      </c>
      <c r="C404" s="405" t="s">
        <v>3793</v>
      </c>
      <c r="D404" s="561" t="s">
        <v>921</v>
      </c>
      <c r="E404" s="573">
        <v>7000</v>
      </c>
      <c r="F404" s="561" t="s">
        <v>4246</v>
      </c>
      <c r="G404" s="561" t="s">
        <v>19</v>
      </c>
      <c r="H404" s="561" t="s">
        <v>20</v>
      </c>
      <c r="I404" s="561" t="s">
        <v>3801</v>
      </c>
      <c r="J404" s="571">
        <v>44075</v>
      </c>
      <c r="K404" s="577" t="s">
        <v>3803</v>
      </c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70"/>
      <c r="AH404" s="570"/>
      <c r="AI404" s="570"/>
      <c r="AJ404" s="570"/>
      <c r="AK404" s="570"/>
      <c r="AL404" s="570"/>
      <c r="AM404" s="570"/>
      <c r="AN404" s="570"/>
      <c r="AO404" s="570"/>
      <c r="AP404" s="570"/>
      <c r="AQ404" s="570"/>
      <c r="AR404" s="570"/>
      <c r="AS404" s="570"/>
      <c r="AT404" s="570"/>
      <c r="AU404" s="570"/>
    </row>
    <row r="405" spans="1:47" ht="15.75" customHeight="1">
      <c r="A405" s="571">
        <v>44369</v>
      </c>
      <c r="B405" s="572" t="s">
        <v>6360</v>
      </c>
      <c r="C405" s="561" t="s">
        <v>3793</v>
      </c>
      <c r="D405" s="561" t="s">
        <v>956</v>
      </c>
      <c r="E405" s="573">
        <v>0</v>
      </c>
      <c r="F405" s="561" t="s">
        <v>4687</v>
      </c>
      <c r="G405" s="561" t="s">
        <v>2931</v>
      </c>
      <c r="H405" s="561" t="s">
        <v>20</v>
      </c>
      <c r="I405" s="561" t="s">
        <v>2931</v>
      </c>
      <c r="J405" s="571">
        <v>43872</v>
      </c>
      <c r="K405" s="577" t="s">
        <v>3803</v>
      </c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70"/>
      <c r="AH405" s="570"/>
      <c r="AI405" s="570"/>
      <c r="AJ405" s="570"/>
      <c r="AK405" s="570"/>
      <c r="AL405" s="570"/>
      <c r="AM405" s="570"/>
      <c r="AN405" s="570"/>
      <c r="AO405" s="570"/>
      <c r="AP405" s="570"/>
      <c r="AQ405" s="570"/>
      <c r="AR405" s="570"/>
      <c r="AS405" s="570"/>
      <c r="AT405" s="570"/>
      <c r="AU405" s="570"/>
    </row>
    <row r="406" spans="1:47" ht="15.75" customHeight="1">
      <c r="A406" s="575">
        <v>44369</v>
      </c>
      <c r="B406" s="576" t="s">
        <v>6477</v>
      </c>
      <c r="C406" s="405" t="s">
        <v>2929</v>
      </c>
      <c r="D406" s="561" t="s">
        <v>6343</v>
      </c>
      <c r="E406" s="573">
        <v>30000</v>
      </c>
      <c r="F406" s="561" t="s">
        <v>3472</v>
      </c>
      <c r="G406" s="571" t="s">
        <v>19</v>
      </c>
      <c r="H406" s="571" t="s">
        <v>35</v>
      </c>
      <c r="I406" s="571" t="s">
        <v>250</v>
      </c>
      <c r="J406" s="571">
        <v>44319</v>
      </c>
      <c r="K406" s="574" t="s">
        <v>3803</v>
      </c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70"/>
      <c r="AH406" s="570"/>
      <c r="AI406" s="570"/>
      <c r="AJ406" s="570"/>
      <c r="AK406" s="570"/>
      <c r="AL406" s="570"/>
      <c r="AM406" s="570"/>
      <c r="AN406" s="570"/>
      <c r="AO406" s="570"/>
      <c r="AP406" s="570"/>
      <c r="AQ406" s="570"/>
      <c r="AR406" s="570"/>
      <c r="AS406" s="570"/>
      <c r="AT406" s="570"/>
      <c r="AU406" s="570"/>
    </row>
    <row r="407" spans="1:47" ht="15.75" customHeight="1">
      <c r="A407" s="575">
        <v>44370</v>
      </c>
      <c r="B407" s="576" t="s">
        <v>6490</v>
      </c>
      <c r="C407" s="405" t="s">
        <v>3793</v>
      </c>
      <c r="D407" s="561" t="s">
        <v>6343</v>
      </c>
      <c r="E407" s="573">
        <v>10000</v>
      </c>
      <c r="F407" s="561" t="s">
        <v>1177</v>
      </c>
      <c r="G407" s="561" t="s">
        <v>46</v>
      </c>
      <c r="H407" s="561" t="s">
        <v>20</v>
      </c>
      <c r="I407" s="561" t="s">
        <v>4112</v>
      </c>
      <c r="J407" s="571">
        <v>44145</v>
      </c>
      <c r="K407" s="577" t="s">
        <v>3797</v>
      </c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70"/>
      <c r="AH407" s="570"/>
      <c r="AI407" s="570"/>
      <c r="AJ407" s="570"/>
      <c r="AK407" s="570"/>
      <c r="AL407" s="570"/>
      <c r="AM407" s="570"/>
      <c r="AN407" s="570"/>
      <c r="AO407" s="570"/>
      <c r="AP407" s="570"/>
      <c r="AQ407" s="570"/>
      <c r="AR407" s="570"/>
      <c r="AS407" s="570"/>
      <c r="AT407" s="570"/>
      <c r="AU407" s="570"/>
    </row>
    <row r="408" spans="1:47" ht="15.75" customHeight="1">
      <c r="A408" s="575">
        <v>44371</v>
      </c>
      <c r="B408" s="576" t="s">
        <v>6491</v>
      </c>
      <c r="C408" s="405" t="s">
        <v>3793</v>
      </c>
      <c r="D408" s="561" t="s">
        <v>6343</v>
      </c>
      <c r="E408" s="573">
        <v>150000</v>
      </c>
      <c r="F408" s="561" t="s">
        <v>4990</v>
      </c>
      <c r="G408" s="561" t="s">
        <v>19</v>
      </c>
      <c r="H408" s="561" t="s">
        <v>66</v>
      </c>
      <c r="I408" s="561" t="s">
        <v>316</v>
      </c>
      <c r="J408" s="571">
        <v>44349</v>
      </c>
      <c r="K408" s="577" t="s">
        <v>4018</v>
      </c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70"/>
      <c r="AH408" s="570"/>
      <c r="AI408" s="570"/>
      <c r="AJ408" s="570"/>
      <c r="AK408" s="570"/>
      <c r="AL408" s="570"/>
      <c r="AM408" s="570"/>
      <c r="AN408" s="570"/>
      <c r="AO408" s="570"/>
      <c r="AP408" s="570"/>
      <c r="AQ408" s="570"/>
      <c r="AR408" s="570"/>
      <c r="AS408" s="570"/>
      <c r="AT408" s="570"/>
      <c r="AU408" s="570"/>
    </row>
    <row r="409" spans="1:47" ht="15.75" customHeight="1">
      <c r="A409" s="575">
        <v>44372</v>
      </c>
      <c r="B409" s="576" t="s">
        <v>6351</v>
      </c>
      <c r="C409" s="405" t="s">
        <v>2929</v>
      </c>
      <c r="D409" s="561" t="s">
        <v>6343</v>
      </c>
      <c r="E409" s="573">
        <v>200000</v>
      </c>
      <c r="F409" s="561" t="s">
        <v>3235</v>
      </c>
      <c r="G409" s="571" t="s">
        <v>2931</v>
      </c>
      <c r="H409" s="571" t="s">
        <v>20</v>
      </c>
      <c r="I409" s="571" t="s">
        <v>2932</v>
      </c>
      <c r="J409" s="571">
        <v>43605</v>
      </c>
      <c r="K409" s="574" t="s">
        <v>3813</v>
      </c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70"/>
      <c r="AH409" s="570"/>
      <c r="AI409" s="570"/>
      <c r="AJ409" s="570"/>
      <c r="AK409" s="570"/>
      <c r="AL409" s="570"/>
      <c r="AM409" s="570"/>
      <c r="AN409" s="570"/>
      <c r="AO409" s="570"/>
      <c r="AP409" s="570"/>
      <c r="AQ409" s="570"/>
      <c r="AR409" s="570"/>
      <c r="AS409" s="570"/>
      <c r="AT409" s="570"/>
      <c r="AU409" s="570"/>
    </row>
    <row r="410" spans="1:47" ht="15.75" customHeight="1">
      <c r="A410" s="575">
        <v>44372</v>
      </c>
      <c r="B410" s="576" t="s">
        <v>6461</v>
      </c>
      <c r="C410" s="405" t="s">
        <v>2929</v>
      </c>
      <c r="D410" s="561" t="s">
        <v>6343</v>
      </c>
      <c r="E410" s="573">
        <v>60000</v>
      </c>
      <c r="F410" s="561" t="s">
        <v>3454</v>
      </c>
      <c r="G410" s="571" t="s">
        <v>19</v>
      </c>
      <c r="H410" s="571" t="s">
        <v>35</v>
      </c>
      <c r="I410" s="571" t="s">
        <v>250</v>
      </c>
      <c r="J410" s="571">
        <v>44279</v>
      </c>
      <c r="K410" s="574" t="s">
        <v>3803</v>
      </c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70"/>
      <c r="AH410" s="570"/>
      <c r="AI410" s="570"/>
      <c r="AJ410" s="570"/>
      <c r="AK410" s="570"/>
      <c r="AL410" s="570"/>
      <c r="AM410" s="570"/>
      <c r="AN410" s="570"/>
      <c r="AO410" s="570"/>
      <c r="AP410" s="570"/>
      <c r="AQ410" s="570"/>
      <c r="AR410" s="570"/>
      <c r="AS410" s="570"/>
      <c r="AT410" s="570"/>
      <c r="AU410" s="570"/>
    </row>
    <row r="411" spans="1:47" ht="15.75" customHeight="1">
      <c r="A411" s="575">
        <v>44372</v>
      </c>
      <c r="B411" s="576" t="s">
        <v>6492</v>
      </c>
      <c r="C411" s="405" t="s">
        <v>3793</v>
      </c>
      <c r="D411" s="561" t="s">
        <v>6343</v>
      </c>
      <c r="E411" s="573">
        <v>30000</v>
      </c>
      <c r="F411" s="561" t="s">
        <v>3879</v>
      </c>
      <c r="G411" s="561" t="s">
        <v>46</v>
      </c>
      <c r="H411" s="561" t="s">
        <v>20</v>
      </c>
      <c r="I411" s="554" t="s">
        <v>3880</v>
      </c>
      <c r="J411" s="571">
        <v>44180</v>
      </c>
      <c r="K411" s="577" t="s">
        <v>3813</v>
      </c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70"/>
      <c r="AH411" s="570"/>
      <c r="AI411" s="570"/>
      <c r="AJ411" s="570"/>
      <c r="AK411" s="570"/>
      <c r="AL411" s="570"/>
      <c r="AM411" s="570"/>
      <c r="AN411" s="570"/>
      <c r="AO411" s="570"/>
      <c r="AP411" s="570"/>
      <c r="AQ411" s="570"/>
      <c r="AR411" s="570"/>
      <c r="AS411" s="570"/>
      <c r="AT411" s="570"/>
      <c r="AU411" s="570"/>
    </row>
    <row r="412" spans="1:47" ht="15.75" customHeight="1">
      <c r="A412" s="571">
        <v>44375</v>
      </c>
      <c r="B412" s="572" t="s">
        <v>6493</v>
      </c>
      <c r="C412" s="561" t="s">
        <v>2929</v>
      </c>
      <c r="D412" s="561" t="s">
        <v>956</v>
      </c>
      <c r="E412" s="573">
        <v>373842.57</v>
      </c>
      <c r="F412" s="561" t="s">
        <v>3143</v>
      </c>
      <c r="G412" s="571" t="s">
        <v>2997</v>
      </c>
      <c r="H412" s="571" t="s">
        <v>20</v>
      </c>
      <c r="I412" s="589" t="s">
        <v>2997</v>
      </c>
      <c r="J412" s="571">
        <v>43829</v>
      </c>
      <c r="K412" s="574" t="s">
        <v>3817</v>
      </c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70"/>
      <c r="AH412" s="570"/>
      <c r="AI412" s="570"/>
      <c r="AJ412" s="570"/>
      <c r="AK412" s="570"/>
      <c r="AL412" s="570"/>
      <c r="AM412" s="570"/>
      <c r="AN412" s="570"/>
      <c r="AO412" s="570"/>
      <c r="AP412" s="570"/>
      <c r="AQ412" s="570"/>
      <c r="AR412" s="570"/>
      <c r="AS412" s="570"/>
      <c r="AT412" s="570"/>
      <c r="AU412" s="570"/>
    </row>
    <row r="413" spans="1:47" ht="15.75" customHeight="1">
      <c r="A413" s="575">
        <v>44375</v>
      </c>
      <c r="B413" s="576" t="s">
        <v>6404</v>
      </c>
      <c r="C413" s="405" t="s">
        <v>2929</v>
      </c>
      <c r="D413" s="561" t="s">
        <v>6343</v>
      </c>
      <c r="E413" s="573">
        <v>8000</v>
      </c>
      <c r="F413" s="561" t="s">
        <v>3369</v>
      </c>
      <c r="G413" s="571" t="s">
        <v>2931</v>
      </c>
      <c r="H413" s="571" t="s">
        <v>20</v>
      </c>
      <c r="I413" s="571" t="s">
        <v>2932</v>
      </c>
      <c r="J413" s="571">
        <v>43873</v>
      </c>
      <c r="K413" s="574" t="s">
        <v>3803</v>
      </c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70"/>
      <c r="AH413" s="570"/>
      <c r="AI413" s="570"/>
      <c r="AJ413" s="570"/>
      <c r="AK413" s="570"/>
      <c r="AL413" s="570"/>
      <c r="AM413" s="570"/>
      <c r="AN413" s="570"/>
      <c r="AO413" s="570"/>
      <c r="AP413" s="570"/>
      <c r="AQ413" s="570"/>
      <c r="AR413" s="570"/>
      <c r="AS413" s="570"/>
      <c r="AT413" s="570"/>
      <c r="AU413" s="570"/>
    </row>
    <row r="414" spans="1:47" ht="15.75" customHeight="1">
      <c r="A414" s="575">
        <v>44375</v>
      </c>
      <c r="B414" s="576" t="s">
        <v>6349</v>
      </c>
      <c r="C414" s="405" t="s">
        <v>2929</v>
      </c>
      <c r="D414" s="561" t="s">
        <v>6343</v>
      </c>
      <c r="E414" s="573">
        <v>504274.77</v>
      </c>
      <c r="F414" s="561" t="s">
        <v>3198</v>
      </c>
      <c r="G414" s="571" t="s">
        <v>2931</v>
      </c>
      <c r="H414" s="571" t="s">
        <v>20</v>
      </c>
      <c r="I414" s="571" t="s">
        <v>2932</v>
      </c>
      <c r="J414" s="571">
        <v>43703</v>
      </c>
      <c r="K414" s="574" t="s">
        <v>4196</v>
      </c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70"/>
      <c r="AH414" s="570"/>
      <c r="AI414" s="570"/>
      <c r="AJ414" s="570"/>
      <c r="AK414" s="570"/>
      <c r="AL414" s="570"/>
      <c r="AM414" s="570"/>
      <c r="AN414" s="570"/>
      <c r="AO414" s="570"/>
      <c r="AP414" s="570"/>
      <c r="AQ414" s="570"/>
      <c r="AR414" s="570"/>
      <c r="AS414" s="570"/>
      <c r="AT414" s="570"/>
      <c r="AU414" s="570"/>
    </row>
    <row r="415" spans="1:47" ht="15.75" customHeight="1">
      <c r="A415" s="575">
        <v>44375</v>
      </c>
      <c r="B415" s="576" t="s">
        <v>6349</v>
      </c>
      <c r="C415" s="405" t="s">
        <v>2929</v>
      </c>
      <c r="D415" s="561" t="s">
        <v>6343</v>
      </c>
      <c r="E415" s="573">
        <v>150000</v>
      </c>
      <c r="F415" s="561" t="s">
        <v>3198</v>
      </c>
      <c r="G415" s="571" t="s">
        <v>2931</v>
      </c>
      <c r="H415" s="571" t="s">
        <v>20</v>
      </c>
      <c r="I415" s="571" t="s">
        <v>2932</v>
      </c>
      <c r="J415" s="571">
        <v>43703</v>
      </c>
      <c r="K415" s="574" t="s">
        <v>4196</v>
      </c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70"/>
      <c r="AH415" s="570"/>
      <c r="AI415" s="570"/>
      <c r="AJ415" s="570"/>
      <c r="AK415" s="570"/>
      <c r="AL415" s="570"/>
      <c r="AM415" s="570"/>
      <c r="AN415" s="570"/>
      <c r="AO415" s="570"/>
      <c r="AP415" s="570"/>
      <c r="AQ415" s="570"/>
      <c r="AR415" s="570"/>
      <c r="AS415" s="570"/>
      <c r="AT415" s="570"/>
      <c r="AU415" s="570"/>
    </row>
    <row r="416" spans="1:47" ht="15.75" customHeight="1">
      <c r="A416" s="575">
        <v>44375</v>
      </c>
      <c r="B416" s="576" t="s">
        <v>6479</v>
      </c>
      <c r="C416" s="405" t="s">
        <v>2929</v>
      </c>
      <c r="D416" s="561" t="s">
        <v>6343</v>
      </c>
      <c r="E416" s="573">
        <v>399197.6</v>
      </c>
      <c r="F416" s="561" t="s">
        <v>1937</v>
      </c>
      <c r="G416" s="571" t="s">
        <v>19</v>
      </c>
      <c r="H416" s="571" t="s">
        <v>35</v>
      </c>
      <c r="I416" s="571" t="s">
        <v>199</v>
      </c>
      <c r="J416" s="571">
        <v>44322</v>
      </c>
      <c r="K416" s="574" t="s">
        <v>3803</v>
      </c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70"/>
      <c r="AH416" s="570"/>
      <c r="AI416" s="570"/>
      <c r="AJ416" s="570"/>
      <c r="AK416" s="570"/>
      <c r="AL416" s="570"/>
      <c r="AM416" s="570"/>
      <c r="AN416" s="570"/>
      <c r="AO416" s="570"/>
      <c r="AP416" s="570"/>
      <c r="AQ416" s="570"/>
      <c r="AR416" s="570"/>
      <c r="AS416" s="570"/>
      <c r="AT416" s="570"/>
      <c r="AU416" s="570"/>
    </row>
    <row r="417" spans="1:47" ht="15.75" customHeight="1">
      <c r="A417" s="575">
        <v>44376</v>
      </c>
      <c r="B417" s="576" t="s">
        <v>6494</v>
      </c>
      <c r="C417" s="405" t="s">
        <v>2929</v>
      </c>
      <c r="D417" s="561" t="s">
        <v>6343</v>
      </c>
      <c r="E417" s="573">
        <v>45000</v>
      </c>
      <c r="F417" s="561" t="s">
        <v>3226</v>
      </c>
      <c r="G417" s="571" t="s">
        <v>19</v>
      </c>
      <c r="H417" s="571" t="s">
        <v>35</v>
      </c>
      <c r="I417" s="571" t="s">
        <v>199</v>
      </c>
      <c r="J417" s="571">
        <v>44313</v>
      </c>
      <c r="K417" s="574" t="s">
        <v>3803</v>
      </c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70"/>
      <c r="AH417" s="570"/>
      <c r="AI417" s="570"/>
      <c r="AJ417" s="570"/>
      <c r="AK417" s="570"/>
      <c r="AL417" s="570"/>
      <c r="AM417" s="570"/>
      <c r="AN417" s="570"/>
      <c r="AO417" s="570"/>
      <c r="AP417" s="570"/>
      <c r="AQ417" s="570"/>
      <c r="AR417" s="570"/>
      <c r="AS417" s="570"/>
      <c r="AT417" s="570"/>
      <c r="AU417" s="570"/>
    </row>
    <row r="418" spans="1:47" ht="15.75" customHeight="1">
      <c r="A418" s="575">
        <v>44377</v>
      </c>
      <c r="B418" s="576" t="s">
        <v>6495</v>
      </c>
      <c r="C418" s="405" t="s">
        <v>2929</v>
      </c>
      <c r="D418" s="561" t="s">
        <v>6343</v>
      </c>
      <c r="E418" s="573">
        <v>40000</v>
      </c>
      <c r="F418" s="561" t="s">
        <v>1384</v>
      </c>
      <c r="G418" s="571" t="s">
        <v>19</v>
      </c>
      <c r="H418" s="571" t="s">
        <v>35</v>
      </c>
      <c r="I418" s="571" t="s">
        <v>199</v>
      </c>
      <c r="J418" s="571">
        <v>44280</v>
      </c>
      <c r="K418" s="574" t="s">
        <v>3810</v>
      </c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70"/>
      <c r="AH418" s="570"/>
      <c r="AI418" s="570"/>
      <c r="AJ418" s="570"/>
      <c r="AK418" s="570"/>
      <c r="AL418" s="570"/>
      <c r="AM418" s="570"/>
      <c r="AN418" s="570"/>
      <c r="AO418" s="570"/>
      <c r="AP418" s="570"/>
      <c r="AQ418" s="570"/>
      <c r="AR418" s="570"/>
      <c r="AS418" s="570"/>
      <c r="AT418" s="570"/>
      <c r="AU418" s="570"/>
    </row>
    <row r="419" spans="1:47" ht="15.75" customHeight="1">
      <c r="A419" s="575">
        <v>44377</v>
      </c>
      <c r="B419" s="576" t="s">
        <v>6457</v>
      </c>
      <c r="C419" s="405" t="s">
        <v>2929</v>
      </c>
      <c r="D419" s="561" t="s">
        <v>6343</v>
      </c>
      <c r="E419" s="573">
        <v>10000</v>
      </c>
      <c r="F419" s="561" t="s">
        <v>3148</v>
      </c>
      <c r="G419" s="571" t="s">
        <v>19</v>
      </c>
      <c r="H419" s="571" t="s">
        <v>35</v>
      </c>
      <c r="I419" s="571" t="s">
        <v>250</v>
      </c>
      <c r="J419" s="571">
        <v>44298</v>
      </c>
      <c r="K419" s="574" t="s">
        <v>3803</v>
      </c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70"/>
      <c r="AH419" s="570"/>
      <c r="AI419" s="570"/>
      <c r="AJ419" s="570"/>
      <c r="AK419" s="570"/>
      <c r="AL419" s="570"/>
      <c r="AM419" s="570"/>
      <c r="AN419" s="570"/>
      <c r="AO419" s="570"/>
      <c r="AP419" s="570"/>
      <c r="AQ419" s="570"/>
      <c r="AR419" s="570"/>
      <c r="AS419" s="570"/>
      <c r="AT419" s="570"/>
      <c r="AU419" s="570"/>
    </row>
    <row r="420" spans="1:47" ht="15.75" customHeight="1">
      <c r="A420" s="575">
        <v>44377</v>
      </c>
      <c r="B420" s="576" t="s">
        <v>6365</v>
      </c>
      <c r="C420" s="405" t="s">
        <v>2929</v>
      </c>
      <c r="D420" s="561" t="s">
        <v>6343</v>
      </c>
      <c r="E420" s="573">
        <v>62000</v>
      </c>
      <c r="F420" s="561" t="s">
        <v>3452</v>
      </c>
      <c r="G420" s="571" t="s">
        <v>2931</v>
      </c>
      <c r="H420" s="571" t="s">
        <v>20</v>
      </c>
      <c r="I420" s="571" t="s">
        <v>2932</v>
      </c>
      <c r="J420" s="571">
        <v>43894</v>
      </c>
      <c r="K420" s="574" t="s">
        <v>3813</v>
      </c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70"/>
      <c r="AH420" s="570"/>
      <c r="AI420" s="570"/>
      <c r="AJ420" s="570"/>
      <c r="AK420" s="570"/>
      <c r="AL420" s="570"/>
      <c r="AM420" s="570"/>
      <c r="AN420" s="570"/>
      <c r="AO420" s="570"/>
      <c r="AP420" s="570"/>
      <c r="AQ420" s="570"/>
      <c r="AR420" s="570"/>
      <c r="AS420" s="570"/>
      <c r="AT420" s="570"/>
      <c r="AU420" s="570"/>
    </row>
    <row r="421" spans="1:47" ht="15.75" customHeight="1">
      <c r="A421" s="575">
        <v>44377</v>
      </c>
      <c r="B421" s="576" t="s">
        <v>6496</v>
      </c>
      <c r="C421" s="405" t="s">
        <v>3793</v>
      </c>
      <c r="D421" s="561" t="s">
        <v>6343</v>
      </c>
      <c r="E421" s="573">
        <v>10000</v>
      </c>
      <c r="F421" s="561" t="s">
        <v>4464</v>
      </c>
      <c r="G421" s="561" t="s">
        <v>46</v>
      </c>
      <c r="H421" s="561" t="s">
        <v>20</v>
      </c>
      <c r="I421" s="561" t="s">
        <v>325</v>
      </c>
      <c r="J421" s="571">
        <v>44102</v>
      </c>
      <c r="K421" s="577" t="s">
        <v>3803</v>
      </c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70"/>
      <c r="AH421" s="570"/>
      <c r="AI421" s="570"/>
      <c r="AJ421" s="570"/>
      <c r="AK421" s="570"/>
      <c r="AL421" s="570"/>
      <c r="AM421" s="570"/>
      <c r="AN421" s="570"/>
      <c r="AO421" s="570"/>
      <c r="AP421" s="570"/>
      <c r="AQ421" s="570"/>
      <c r="AR421" s="570"/>
      <c r="AS421" s="570"/>
      <c r="AT421" s="570"/>
      <c r="AU421" s="570"/>
    </row>
    <row r="422" spans="1:47" ht="15.75" customHeight="1">
      <c r="A422" s="571">
        <v>44378</v>
      </c>
      <c r="B422" s="572" t="s">
        <v>6497</v>
      </c>
      <c r="C422" s="561" t="s">
        <v>3793</v>
      </c>
      <c r="D422" s="561" t="s">
        <v>956</v>
      </c>
      <c r="E422" s="573">
        <v>0</v>
      </c>
      <c r="F422" s="561" t="s">
        <v>4308</v>
      </c>
      <c r="G422" s="561" t="s">
        <v>19</v>
      </c>
      <c r="H422" s="561" t="s">
        <v>20</v>
      </c>
      <c r="I422" s="561" t="s">
        <v>4309</v>
      </c>
      <c r="J422" s="571">
        <v>44260</v>
      </c>
      <c r="K422" s="577" t="s">
        <v>3817</v>
      </c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70"/>
      <c r="AH422" s="570"/>
      <c r="AI422" s="570"/>
      <c r="AJ422" s="570"/>
      <c r="AK422" s="570"/>
      <c r="AL422" s="570"/>
      <c r="AM422" s="570"/>
      <c r="AN422" s="570"/>
      <c r="AO422" s="570"/>
      <c r="AP422" s="570"/>
      <c r="AQ422" s="570"/>
      <c r="AR422" s="570"/>
      <c r="AS422" s="570"/>
      <c r="AT422" s="570"/>
      <c r="AU422" s="570"/>
    </row>
    <row r="423" spans="1:47" ht="15.75" customHeight="1">
      <c r="A423" s="571">
        <v>44378</v>
      </c>
      <c r="B423" s="572" t="s">
        <v>6498</v>
      </c>
      <c r="C423" s="561" t="s">
        <v>3793</v>
      </c>
      <c r="D423" s="561" t="s">
        <v>956</v>
      </c>
      <c r="E423" s="573">
        <v>0</v>
      </c>
      <c r="F423" s="561" t="s">
        <v>4542</v>
      </c>
      <c r="G423" s="561" t="s">
        <v>19</v>
      </c>
      <c r="H423" s="561" t="s">
        <v>20</v>
      </c>
      <c r="I423" s="561" t="s">
        <v>4309</v>
      </c>
      <c r="J423" s="571">
        <v>44166</v>
      </c>
      <c r="K423" s="577" t="s">
        <v>3803</v>
      </c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70"/>
      <c r="AH423" s="570"/>
      <c r="AI423" s="570"/>
      <c r="AJ423" s="570"/>
      <c r="AK423" s="570"/>
      <c r="AL423" s="570"/>
      <c r="AM423" s="570"/>
      <c r="AN423" s="570"/>
      <c r="AO423" s="570"/>
      <c r="AP423" s="570"/>
      <c r="AQ423" s="570"/>
      <c r="AR423" s="570"/>
      <c r="AS423" s="570"/>
      <c r="AT423" s="570"/>
      <c r="AU423" s="570"/>
    </row>
    <row r="424" spans="1:47" ht="15.75" customHeight="1">
      <c r="A424" s="571">
        <v>44378</v>
      </c>
      <c r="B424" s="572" t="s">
        <v>6499</v>
      </c>
      <c r="C424" s="561" t="s">
        <v>3793</v>
      </c>
      <c r="D424" s="561" t="s">
        <v>956</v>
      </c>
      <c r="E424" s="573">
        <v>0</v>
      </c>
      <c r="F424" s="561" t="s">
        <v>4929</v>
      </c>
      <c r="G424" s="561" t="s">
        <v>19</v>
      </c>
      <c r="H424" s="561" t="s">
        <v>20</v>
      </c>
      <c r="I424" s="561" t="s">
        <v>4309</v>
      </c>
      <c r="J424" s="571">
        <v>44291</v>
      </c>
      <c r="K424" s="577" t="s">
        <v>3817</v>
      </c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70"/>
      <c r="AH424" s="570"/>
      <c r="AI424" s="570"/>
      <c r="AJ424" s="570"/>
      <c r="AK424" s="570"/>
      <c r="AL424" s="570"/>
      <c r="AM424" s="570"/>
      <c r="AN424" s="570"/>
      <c r="AO424" s="570"/>
      <c r="AP424" s="570"/>
      <c r="AQ424" s="570"/>
      <c r="AR424" s="570"/>
      <c r="AS424" s="570"/>
      <c r="AT424" s="570"/>
      <c r="AU424" s="570"/>
    </row>
    <row r="425" spans="1:47" ht="15.75" customHeight="1">
      <c r="A425" s="571">
        <v>44378</v>
      </c>
      <c r="B425" s="572" t="s">
        <v>6500</v>
      </c>
      <c r="C425" s="561" t="s">
        <v>3793</v>
      </c>
      <c r="D425" s="561" t="s">
        <v>956</v>
      </c>
      <c r="E425" s="573">
        <v>0</v>
      </c>
      <c r="F425" s="561" t="s">
        <v>5377</v>
      </c>
      <c r="G425" s="561" t="s">
        <v>19</v>
      </c>
      <c r="H425" s="561" t="s">
        <v>20</v>
      </c>
      <c r="I425" s="561" t="s">
        <v>4309</v>
      </c>
      <c r="J425" s="571">
        <v>44166</v>
      </c>
      <c r="K425" s="577" t="s">
        <v>3803</v>
      </c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70"/>
      <c r="AH425" s="570"/>
      <c r="AI425" s="570"/>
      <c r="AJ425" s="570"/>
      <c r="AK425" s="570"/>
      <c r="AL425" s="570"/>
      <c r="AM425" s="570"/>
      <c r="AN425" s="570"/>
      <c r="AO425" s="570"/>
      <c r="AP425" s="570"/>
      <c r="AQ425" s="570"/>
      <c r="AR425" s="570"/>
      <c r="AS425" s="570"/>
      <c r="AT425" s="570"/>
      <c r="AU425" s="570"/>
    </row>
    <row r="426" spans="1:47" ht="15.75" customHeight="1">
      <c r="A426" s="575">
        <v>44378</v>
      </c>
      <c r="B426" s="576" t="s">
        <v>6501</v>
      </c>
      <c r="C426" s="405" t="s">
        <v>2929</v>
      </c>
      <c r="D426" s="561" t="s">
        <v>6343</v>
      </c>
      <c r="E426" s="573">
        <v>20000</v>
      </c>
      <c r="F426" s="561" t="s">
        <v>536</v>
      </c>
      <c r="G426" s="571" t="s">
        <v>19</v>
      </c>
      <c r="H426" s="571" t="s">
        <v>35</v>
      </c>
      <c r="I426" s="571" t="s">
        <v>199</v>
      </c>
      <c r="J426" s="571">
        <v>44358</v>
      </c>
      <c r="K426" s="574" t="s">
        <v>3803</v>
      </c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70"/>
      <c r="AH426" s="570"/>
      <c r="AI426" s="570"/>
      <c r="AJ426" s="570"/>
      <c r="AK426" s="570"/>
      <c r="AL426" s="570"/>
      <c r="AM426" s="570"/>
      <c r="AN426" s="570"/>
      <c r="AO426" s="570"/>
      <c r="AP426" s="570"/>
      <c r="AQ426" s="570"/>
      <c r="AR426" s="570"/>
      <c r="AS426" s="570"/>
      <c r="AT426" s="570"/>
      <c r="AU426" s="570"/>
    </row>
    <row r="427" spans="1:47" ht="15.75" customHeight="1">
      <c r="A427" s="575">
        <v>44378</v>
      </c>
      <c r="B427" s="576" t="s">
        <v>6502</v>
      </c>
      <c r="C427" s="405" t="s">
        <v>3793</v>
      </c>
      <c r="D427" s="561" t="s">
        <v>6343</v>
      </c>
      <c r="E427" s="573">
        <v>50000</v>
      </c>
      <c r="F427" s="561" t="s">
        <v>4820</v>
      </c>
      <c r="G427" s="561" t="s">
        <v>46</v>
      </c>
      <c r="H427" s="561" t="s">
        <v>20</v>
      </c>
      <c r="I427" s="561" t="s">
        <v>4075</v>
      </c>
      <c r="J427" s="571">
        <v>44183</v>
      </c>
      <c r="K427" s="577" t="s">
        <v>3803</v>
      </c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70"/>
      <c r="AH427" s="570"/>
      <c r="AI427" s="570"/>
      <c r="AJ427" s="570"/>
      <c r="AK427" s="570"/>
      <c r="AL427" s="570"/>
      <c r="AM427" s="570"/>
      <c r="AN427" s="570"/>
      <c r="AO427" s="570"/>
      <c r="AP427" s="570"/>
      <c r="AQ427" s="570"/>
      <c r="AR427" s="570"/>
      <c r="AS427" s="570"/>
      <c r="AT427" s="570"/>
      <c r="AU427" s="570"/>
    </row>
    <row r="428" spans="1:47" ht="15.75" customHeight="1">
      <c r="A428" s="575">
        <v>44378</v>
      </c>
      <c r="B428" s="576" t="s">
        <v>6503</v>
      </c>
      <c r="C428" s="405" t="s">
        <v>2929</v>
      </c>
      <c r="D428" s="561" t="s">
        <v>6343</v>
      </c>
      <c r="E428" s="573">
        <v>13000</v>
      </c>
      <c r="F428" s="561" t="s">
        <v>3150</v>
      </c>
      <c r="G428" s="571" t="s">
        <v>19</v>
      </c>
      <c r="H428" s="571" t="s">
        <v>35</v>
      </c>
      <c r="I428" s="571" t="s">
        <v>199</v>
      </c>
      <c r="J428" s="571">
        <v>44322</v>
      </c>
      <c r="K428" s="574" t="s">
        <v>3803</v>
      </c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70"/>
      <c r="AH428" s="570"/>
      <c r="AI428" s="570"/>
      <c r="AJ428" s="570"/>
      <c r="AK428" s="570"/>
      <c r="AL428" s="570"/>
      <c r="AM428" s="570"/>
      <c r="AN428" s="570"/>
      <c r="AO428" s="570"/>
      <c r="AP428" s="570"/>
      <c r="AQ428" s="570"/>
      <c r="AR428" s="570"/>
      <c r="AS428" s="570"/>
      <c r="AT428" s="570"/>
      <c r="AU428" s="570"/>
    </row>
    <row r="429" spans="1:47" ht="15.75" customHeight="1">
      <c r="A429" s="575">
        <v>44378</v>
      </c>
      <c r="B429" s="576" t="s">
        <v>6410</v>
      </c>
      <c r="C429" s="405" t="s">
        <v>2929</v>
      </c>
      <c r="D429" s="561" t="s">
        <v>6343</v>
      </c>
      <c r="E429" s="573">
        <v>46000</v>
      </c>
      <c r="F429" s="561" t="s">
        <v>850</v>
      </c>
      <c r="G429" s="571" t="s">
        <v>19</v>
      </c>
      <c r="H429" s="571" t="s">
        <v>35</v>
      </c>
      <c r="I429" s="571" t="s">
        <v>199</v>
      </c>
      <c r="J429" s="571">
        <v>44321</v>
      </c>
      <c r="K429" s="574" t="s">
        <v>3803</v>
      </c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70"/>
      <c r="AH429" s="570"/>
      <c r="AI429" s="570"/>
      <c r="AJ429" s="570"/>
      <c r="AK429" s="570"/>
      <c r="AL429" s="570"/>
      <c r="AM429" s="570"/>
      <c r="AN429" s="570"/>
      <c r="AO429" s="570"/>
      <c r="AP429" s="570"/>
      <c r="AQ429" s="570"/>
      <c r="AR429" s="570"/>
      <c r="AS429" s="570"/>
      <c r="AT429" s="570"/>
      <c r="AU429" s="570"/>
    </row>
    <row r="430" spans="1:47" ht="15.75" customHeight="1">
      <c r="A430" s="575">
        <v>44379</v>
      </c>
      <c r="B430" s="576" t="s">
        <v>6475</v>
      </c>
      <c r="C430" s="405" t="s">
        <v>2929</v>
      </c>
      <c r="D430" s="561" t="s">
        <v>6343</v>
      </c>
      <c r="E430" s="573">
        <v>60000</v>
      </c>
      <c r="F430" s="561" t="s">
        <v>3339</v>
      </c>
      <c r="G430" s="571" t="s">
        <v>19</v>
      </c>
      <c r="H430" s="571" t="s">
        <v>35</v>
      </c>
      <c r="I430" s="571" t="s">
        <v>250</v>
      </c>
      <c r="J430" s="571">
        <v>44322</v>
      </c>
      <c r="K430" s="574" t="s">
        <v>3803</v>
      </c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70"/>
      <c r="AH430" s="570"/>
      <c r="AI430" s="570"/>
      <c r="AJ430" s="570"/>
      <c r="AK430" s="570"/>
      <c r="AL430" s="570"/>
      <c r="AM430" s="570"/>
      <c r="AN430" s="570"/>
      <c r="AO430" s="570"/>
      <c r="AP430" s="570"/>
      <c r="AQ430" s="570"/>
      <c r="AR430" s="570"/>
      <c r="AS430" s="570"/>
      <c r="AT430" s="570"/>
      <c r="AU430" s="570"/>
    </row>
    <row r="431" spans="1:47" ht="15.75" customHeight="1">
      <c r="A431" s="575">
        <v>44379</v>
      </c>
      <c r="B431" s="576" t="s">
        <v>6446</v>
      </c>
      <c r="C431" s="405" t="s">
        <v>3793</v>
      </c>
      <c r="D431" s="561" t="s">
        <v>6343</v>
      </c>
      <c r="E431" s="573">
        <v>100000</v>
      </c>
      <c r="F431" s="561" t="s">
        <v>5341</v>
      </c>
      <c r="G431" s="561" t="s">
        <v>46</v>
      </c>
      <c r="H431" s="561" t="s">
        <v>20</v>
      </c>
      <c r="I431" s="561" t="s">
        <v>4066</v>
      </c>
      <c r="J431" s="571">
        <v>44203</v>
      </c>
      <c r="K431" s="577" t="s">
        <v>3803</v>
      </c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70"/>
      <c r="AH431" s="570"/>
      <c r="AI431" s="570"/>
      <c r="AJ431" s="570"/>
      <c r="AK431" s="570"/>
      <c r="AL431" s="570"/>
      <c r="AM431" s="570"/>
      <c r="AN431" s="570"/>
      <c r="AO431" s="570"/>
      <c r="AP431" s="570"/>
      <c r="AQ431" s="570"/>
      <c r="AR431" s="570"/>
      <c r="AS431" s="570"/>
      <c r="AT431" s="570"/>
      <c r="AU431" s="570"/>
    </row>
    <row r="432" spans="1:47" ht="15.75" customHeight="1">
      <c r="A432" s="575">
        <v>44383</v>
      </c>
      <c r="B432" s="576" t="s">
        <v>6349</v>
      </c>
      <c r="C432" s="405" t="s">
        <v>2929</v>
      </c>
      <c r="D432" s="561" t="s">
        <v>6343</v>
      </c>
      <c r="E432" s="573">
        <v>50000</v>
      </c>
      <c r="F432" s="561" t="s">
        <v>3198</v>
      </c>
      <c r="G432" s="571" t="s">
        <v>2931</v>
      </c>
      <c r="H432" s="571" t="s">
        <v>20</v>
      </c>
      <c r="I432" s="571" t="s">
        <v>2932</v>
      </c>
      <c r="J432" s="571">
        <v>43703</v>
      </c>
      <c r="K432" s="574" t="s">
        <v>4196</v>
      </c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70"/>
      <c r="AH432" s="570"/>
      <c r="AI432" s="570"/>
      <c r="AJ432" s="570"/>
      <c r="AK432" s="570"/>
      <c r="AL432" s="570"/>
      <c r="AM432" s="570"/>
      <c r="AN432" s="570"/>
      <c r="AO432" s="570"/>
      <c r="AP432" s="570"/>
      <c r="AQ432" s="570"/>
      <c r="AR432" s="570"/>
      <c r="AS432" s="570"/>
      <c r="AT432" s="570"/>
      <c r="AU432" s="570"/>
    </row>
    <row r="433" spans="1:47" ht="15.75" customHeight="1">
      <c r="A433" s="575">
        <v>44383</v>
      </c>
      <c r="B433" s="576" t="s">
        <v>6475</v>
      </c>
      <c r="C433" s="405" t="s">
        <v>2929</v>
      </c>
      <c r="D433" s="561" t="s">
        <v>6343</v>
      </c>
      <c r="E433" s="573">
        <v>8000</v>
      </c>
      <c r="F433" s="561" t="s">
        <v>3339</v>
      </c>
      <c r="G433" s="571" t="s">
        <v>19</v>
      </c>
      <c r="H433" s="571" t="s">
        <v>35</v>
      </c>
      <c r="I433" s="571" t="s">
        <v>250</v>
      </c>
      <c r="J433" s="571">
        <v>44322</v>
      </c>
      <c r="K433" s="574" t="s">
        <v>3803</v>
      </c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70"/>
      <c r="AH433" s="570"/>
      <c r="AI433" s="570"/>
      <c r="AJ433" s="570"/>
      <c r="AK433" s="570"/>
      <c r="AL433" s="570"/>
      <c r="AM433" s="570"/>
      <c r="AN433" s="570"/>
      <c r="AO433" s="570"/>
      <c r="AP433" s="570"/>
      <c r="AQ433" s="570"/>
      <c r="AR433" s="570"/>
      <c r="AS433" s="570"/>
      <c r="AT433" s="570"/>
      <c r="AU433" s="570"/>
    </row>
    <row r="434" spans="1:47" ht="15.75" customHeight="1">
      <c r="A434" s="571">
        <v>44384</v>
      </c>
      <c r="B434" s="572" t="s">
        <v>6504</v>
      </c>
      <c r="C434" s="561" t="s">
        <v>3793</v>
      </c>
      <c r="D434" s="561" t="s">
        <v>956</v>
      </c>
      <c r="E434" s="573">
        <v>0</v>
      </c>
      <c r="F434" s="561" t="s">
        <v>5043</v>
      </c>
      <c r="G434" s="561" t="s">
        <v>19</v>
      </c>
      <c r="H434" s="561" t="s">
        <v>20</v>
      </c>
      <c r="I434" s="561" t="s">
        <v>6505</v>
      </c>
      <c r="J434" s="571">
        <v>44384</v>
      </c>
      <c r="K434" s="577" t="s">
        <v>3813</v>
      </c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70"/>
      <c r="AH434" s="570"/>
      <c r="AI434" s="570"/>
      <c r="AJ434" s="570"/>
      <c r="AK434" s="570"/>
      <c r="AL434" s="570"/>
      <c r="AM434" s="570"/>
      <c r="AN434" s="570"/>
      <c r="AO434" s="570"/>
      <c r="AP434" s="570"/>
      <c r="AQ434" s="570"/>
      <c r="AR434" s="570"/>
      <c r="AS434" s="570"/>
      <c r="AT434" s="570"/>
      <c r="AU434" s="570"/>
    </row>
    <row r="435" spans="1:47" ht="15.75" customHeight="1">
      <c r="A435" s="575">
        <v>44385</v>
      </c>
      <c r="B435" s="576" t="s">
        <v>6506</v>
      </c>
      <c r="C435" s="405" t="s">
        <v>2929</v>
      </c>
      <c r="D435" s="561" t="s">
        <v>6343</v>
      </c>
      <c r="E435" s="573">
        <v>10000</v>
      </c>
      <c r="F435" s="561" t="s">
        <v>2941</v>
      </c>
      <c r="G435" s="571" t="s">
        <v>19</v>
      </c>
      <c r="H435" s="571" t="s">
        <v>35</v>
      </c>
      <c r="I435" s="571" t="s">
        <v>250</v>
      </c>
      <c r="J435" s="571">
        <v>44321</v>
      </c>
      <c r="K435" s="574" t="s">
        <v>3813</v>
      </c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70"/>
      <c r="AH435" s="570"/>
      <c r="AI435" s="570"/>
      <c r="AJ435" s="570"/>
      <c r="AK435" s="570"/>
      <c r="AL435" s="570"/>
      <c r="AM435" s="570"/>
      <c r="AN435" s="570"/>
      <c r="AO435" s="570"/>
      <c r="AP435" s="570"/>
      <c r="AQ435" s="570"/>
      <c r="AR435" s="570"/>
      <c r="AS435" s="570"/>
      <c r="AT435" s="570"/>
      <c r="AU435" s="570"/>
    </row>
    <row r="436" spans="1:47" ht="15.75" customHeight="1">
      <c r="A436" s="575">
        <v>44386</v>
      </c>
      <c r="B436" s="576" t="s">
        <v>3636</v>
      </c>
      <c r="C436" s="405" t="s">
        <v>3613</v>
      </c>
      <c r="D436" s="561" t="s">
        <v>6343</v>
      </c>
      <c r="E436" s="573">
        <v>47000</v>
      </c>
      <c r="F436" s="561" t="s">
        <v>3635</v>
      </c>
      <c r="G436" s="571" t="s">
        <v>19</v>
      </c>
      <c r="H436" s="571" t="s">
        <v>20</v>
      </c>
      <c r="I436" s="571" t="s">
        <v>19</v>
      </c>
      <c r="J436" s="571">
        <v>44062</v>
      </c>
      <c r="K436" s="574" t="s">
        <v>3803</v>
      </c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70"/>
      <c r="AH436" s="570"/>
      <c r="AI436" s="570"/>
      <c r="AJ436" s="570"/>
      <c r="AK436" s="570"/>
      <c r="AL436" s="570"/>
      <c r="AM436" s="570"/>
      <c r="AN436" s="570"/>
      <c r="AO436" s="570"/>
      <c r="AP436" s="570"/>
      <c r="AQ436" s="570"/>
      <c r="AR436" s="570"/>
      <c r="AS436" s="570"/>
      <c r="AT436" s="570"/>
      <c r="AU436" s="570"/>
    </row>
    <row r="437" spans="1:47" ht="15.75" customHeight="1">
      <c r="A437" s="575">
        <v>44386</v>
      </c>
      <c r="B437" s="576" t="s">
        <v>6490</v>
      </c>
      <c r="C437" s="405" t="s">
        <v>3793</v>
      </c>
      <c r="D437" s="561" t="s">
        <v>6343</v>
      </c>
      <c r="E437" s="573">
        <v>156000</v>
      </c>
      <c r="F437" s="554" t="s">
        <v>1177</v>
      </c>
      <c r="G437" s="561" t="s">
        <v>46</v>
      </c>
      <c r="H437" s="561" t="s">
        <v>20</v>
      </c>
      <c r="I437" s="561" t="s">
        <v>4112</v>
      </c>
      <c r="J437" s="591">
        <v>44145</v>
      </c>
      <c r="K437" s="577" t="s">
        <v>3797</v>
      </c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70"/>
      <c r="AH437" s="570"/>
      <c r="AI437" s="570"/>
      <c r="AJ437" s="570"/>
      <c r="AK437" s="570"/>
      <c r="AL437" s="570"/>
      <c r="AM437" s="570"/>
      <c r="AN437" s="570"/>
      <c r="AO437" s="570"/>
      <c r="AP437" s="570"/>
      <c r="AQ437" s="570"/>
      <c r="AR437" s="570"/>
      <c r="AS437" s="570"/>
      <c r="AT437" s="570"/>
      <c r="AU437" s="570"/>
    </row>
    <row r="438" spans="1:47" ht="15.75" customHeight="1">
      <c r="A438" s="575">
        <v>44389</v>
      </c>
      <c r="B438" s="576" t="s">
        <v>6507</v>
      </c>
      <c r="C438" s="405" t="s">
        <v>2929</v>
      </c>
      <c r="D438" s="561" t="s">
        <v>6343</v>
      </c>
      <c r="E438" s="573">
        <v>20000</v>
      </c>
      <c r="F438" s="561" t="s">
        <v>3388</v>
      </c>
      <c r="G438" s="571" t="s">
        <v>19</v>
      </c>
      <c r="H438" s="571" t="s">
        <v>35</v>
      </c>
      <c r="I438" s="571" t="s">
        <v>199</v>
      </c>
      <c r="J438" s="571">
        <v>44319</v>
      </c>
      <c r="K438" s="574" t="s">
        <v>3803</v>
      </c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70"/>
      <c r="AH438" s="570"/>
      <c r="AI438" s="570"/>
      <c r="AJ438" s="570"/>
      <c r="AK438" s="570"/>
      <c r="AL438" s="570"/>
      <c r="AM438" s="570"/>
      <c r="AN438" s="570"/>
      <c r="AO438" s="570"/>
      <c r="AP438" s="570"/>
      <c r="AQ438" s="570"/>
      <c r="AR438" s="570"/>
      <c r="AS438" s="570"/>
      <c r="AT438" s="570"/>
      <c r="AU438" s="570"/>
    </row>
    <row r="439" spans="1:47" ht="15.75" customHeight="1">
      <c r="A439" s="575">
        <v>44389</v>
      </c>
      <c r="B439" s="576" t="s">
        <v>6508</v>
      </c>
      <c r="C439" s="405" t="s">
        <v>2929</v>
      </c>
      <c r="D439" s="561" t="s">
        <v>6343</v>
      </c>
      <c r="E439" s="573">
        <v>5000</v>
      </c>
      <c r="F439" s="561" t="s">
        <v>3365</v>
      </c>
      <c r="G439" s="571" t="s">
        <v>19</v>
      </c>
      <c r="H439" s="571" t="s">
        <v>35</v>
      </c>
      <c r="I439" s="571" t="s">
        <v>250</v>
      </c>
      <c r="J439" s="571">
        <v>44321</v>
      </c>
      <c r="K439" s="574" t="s">
        <v>3810</v>
      </c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70"/>
      <c r="AH439" s="570"/>
      <c r="AI439" s="570"/>
      <c r="AJ439" s="570"/>
      <c r="AK439" s="570"/>
      <c r="AL439" s="570"/>
      <c r="AM439" s="570"/>
      <c r="AN439" s="570"/>
      <c r="AO439" s="570"/>
      <c r="AP439" s="570"/>
      <c r="AQ439" s="570"/>
      <c r="AR439" s="570"/>
      <c r="AS439" s="570"/>
      <c r="AT439" s="570"/>
      <c r="AU439" s="570"/>
    </row>
    <row r="440" spans="1:47" ht="15.75" customHeight="1">
      <c r="A440" s="575">
        <v>44389</v>
      </c>
      <c r="B440" s="576" t="s">
        <v>6478</v>
      </c>
      <c r="C440" s="405" t="s">
        <v>2929</v>
      </c>
      <c r="D440" s="561" t="s">
        <v>6343</v>
      </c>
      <c r="E440" s="573">
        <v>45000</v>
      </c>
      <c r="F440" s="561" t="s">
        <v>2479</v>
      </c>
      <c r="G440" s="571" t="s">
        <v>19</v>
      </c>
      <c r="H440" s="571" t="s">
        <v>35</v>
      </c>
      <c r="I440" s="571" t="s">
        <v>199</v>
      </c>
      <c r="J440" s="571">
        <v>44280</v>
      </c>
      <c r="K440" s="574" t="s">
        <v>3797</v>
      </c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70"/>
      <c r="AH440" s="570"/>
      <c r="AI440" s="570"/>
      <c r="AJ440" s="570"/>
      <c r="AK440" s="570"/>
      <c r="AL440" s="570"/>
      <c r="AM440" s="570"/>
      <c r="AN440" s="570"/>
      <c r="AO440" s="570"/>
      <c r="AP440" s="570"/>
      <c r="AQ440" s="570"/>
      <c r="AR440" s="570"/>
      <c r="AS440" s="570"/>
      <c r="AT440" s="570"/>
      <c r="AU440" s="570"/>
    </row>
    <row r="441" spans="1:47" ht="15.75" customHeight="1">
      <c r="A441" s="571">
        <v>44390</v>
      </c>
      <c r="B441" s="572" t="s">
        <v>6509</v>
      </c>
      <c r="C441" s="561" t="s">
        <v>3793</v>
      </c>
      <c r="D441" s="561" t="s">
        <v>956</v>
      </c>
      <c r="E441" s="573">
        <v>0</v>
      </c>
      <c r="F441" s="561" t="s">
        <v>5079</v>
      </c>
      <c r="G441" s="561" t="s">
        <v>19</v>
      </c>
      <c r="H441" s="561" t="s">
        <v>20</v>
      </c>
      <c r="I441" s="561" t="s">
        <v>3801</v>
      </c>
      <c r="J441" s="571">
        <v>44166</v>
      </c>
      <c r="K441" s="577" t="s">
        <v>3803</v>
      </c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70"/>
      <c r="AH441" s="570"/>
      <c r="AI441" s="570"/>
      <c r="AJ441" s="570"/>
      <c r="AK441" s="570"/>
      <c r="AL441" s="570"/>
      <c r="AM441" s="570"/>
      <c r="AN441" s="570"/>
      <c r="AO441" s="570"/>
      <c r="AP441" s="570"/>
      <c r="AQ441" s="570"/>
      <c r="AR441" s="570"/>
      <c r="AS441" s="570"/>
      <c r="AT441" s="570"/>
      <c r="AU441" s="570"/>
    </row>
    <row r="442" spans="1:47" ht="15.75" customHeight="1">
      <c r="A442" s="575">
        <v>44390</v>
      </c>
      <c r="B442" s="576" t="s">
        <v>6411</v>
      </c>
      <c r="C442" s="405" t="s">
        <v>2929</v>
      </c>
      <c r="D442" s="561" t="s">
        <v>6343</v>
      </c>
      <c r="E442" s="573">
        <v>6000</v>
      </c>
      <c r="F442" s="561" t="s">
        <v>3264</v>
      </c>
      <c r="G442" s="571" t="s">
        <v>19</v>
      </c>
      <c r="H442" s="571" t="s">
        <v>35</v>
      </c>
      <c r="I442" s="571" t="s">
        <v>199</v>
      </c>
      <c r="J442" s="571">
        <v>44295</v>
      </c>
      <c r="K442" s="574" t="s">
        <v>3810</v>
      </c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70"/>
      <c r="AH442" s="570"/>
      <c r="AI442" s="570"/>
      <c r="AJ442" s="570"/>
      <c r="AK442" s="570"/>
      <c r="AL442" s="570"/>
      <c r="AM442" s="570"/>
      <c r="AN442" s="570"/>
      <c r="AO442" s="570"/>
      <c r="AP442" s="570"/>
      <c r="AQ442" s="570"/>
      <c r="AR442" s="570"/>
      <c r="AS442" s="570"/>
      <c r="AT442" s="570"/>
      <c r="AU442" s="570"/>
    </row>
    <row r="443" spans="1:47" ht="15.75" customHeight="1">
      <c r="A443" s="575">
        <v>44391</v>
      </c>
      <c r="B443" s="576" t="s">
        <v>6481</v>
      </c>
      <c r="C443" s="405" t="s">
        <v>2929</v>
      </c>
      <c r="D443" s="561" t="s">
        <v>6343</v>
      </c>
      <c r="E443" s="573">
        <v>4000</v>
      </c>
      <c r="F443" s="561" t="s">
        <v>3041</v>
      </c>
      <c r="G443" s="571" t="s">
        <v>19</v>
      </c>
      <c r="H443" s="571" t="s">
        <v>35</v>
      </c>
      <c r="I443" s="571" t="s">
        <v>2979</v>
      </c>
      <c r="J443" s="571">
        <v>44260</v>
      </c>
      <c r="K443" s="574" t="s">
        <v>3803</v>
      </c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70"/>
      <c r="AH443" s="570"/>
      <c r="AI443" s="570"/>
      <c r="AJ443" s="570"/>
      <c r="AK443" s="570"/>
      <c r="AL443" s="570"/>
      <c r="AM443" s="570"/>
      <c r="AN443" s="570"/>
      <c r="AO443" s="570"/>
      <c r="AP443" s="570"/>
      <c r="AQ443" s="570"/>
      <c r="AR443" s="570"/>
      <c r="AS443" s="570"/>
      <c r="AT443" s="570"/>
      <c r="AU443" s="570"/>
    </row>
    <row r="444" spans="1:47" ht="15.75" customHeight="1">
      <c r="A444" s="571">
        <v>44393</v>
      </c>
      <c r="B444" s="592" t="s">
        <v>6510</v>
      </c>
      <c r="C444" s="561" t="s">
        <v>2929</v>
      </c>
      <c r="D444" s="561" t="s">
        <v>956</v>
      </c>
      <c r="E444" s="573">
        <v>156601.32</v>
      </c>
      <c r="F444" s="561" t="s">
        <v>3241</v>
      </c>
      <c r="G444" s="571" t="s">
        <v>19</v>
      </c>
      <c r="H444" s="571" t="s">
        <v>35</v>
      </c>
      <c r="I444" s="571" t="s">
        <v>250</v>
      </c>
      <c r="J444" s="571">
        <v>44280</v>
      </c>
      <c r="K444" s="574" t="s">
        <v>3803</v>
      </c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70"/>
      <c r="AH444" s="570"/>
      <c r="AI444" s="570"/>
      <c r="AJ444" s="570"/>
      <c r="AK444" s="570"/>
      <c r="AL444" s="570"/>
      <c r="AM444" s="570"/>
      <c r="AN444" s="570"/>
      <c r="AO444" s="570"/>
      <c r="AP444" s="570"/>
      <c r="AQ444" s="570"/>
      <c r="AR444" s="570"/>
      <c r="AS444" s="570"/>
      <c r="AT444" s="570"/>
      <c r="AU444" s="570"/>
    </row>
    <row r="445" spans="1:47" ht="15.75" customHeight="1">
      <c r="A445" s="575">
        <v>44393</v>
      </c>
      <c r="B445" s="576" t="s">
        <v>6481</v>
      </c>
      <c r="C445" s="405" t="s">
        <v>2929</v>
      </c>
      <c r="D445" s="561" t="s">
        <v>6343</v>
      </c>
      <c r="E445" s="573">
        <v>107481.43</v>
      </c>
      <c r="F445" s="561" t="s">
        <v>3041</v>
      </c>
      <c r="G445" s="571" t="s">
        <v>19</v>
      </c>
      <c r="H445" s="571" t="s">
        <v>35</v>
      </c>
      <c r="I445" s="571" t="s">
        <v>2979</v>
      </c>
      <c r="J445" s="571">
        <v>44260</v>
      </c>
      <c r="K445" s="574" t="s">
        <v>3803</v>
      </c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70"/>
      <c r="AH445" s="570"/>
      <c r="AI445" s="570"/>
      <c r="AJ445" s="570"/>
      <c r="AK445" s="570"/>
      <c r="AL445" s="570"/>
      <c r="AM445" s="570"/>
      <c r="AN445" s="570"/>
      <c r="AO445" s="570"/>
      <c r="AP445" s="570"/>
      <c r="AQ445" s="570"/>
      <c r="AR445" s="570"/>
      <c r="AS445" s="570"/>
      <c r="AT445" s="570"/>
      <c r="AU445" s="570"/>
    </row>
    <row r="446" spans="1:47" ht="15.75" customHeight="1">
      <c r="A446" s="575">
        <v>44393</v>
      </c>
      <c r="B446" s="576" t="s">
        <v>6510</v>
      </c>
      <c r="C446" s="405" t="s">
        <v>2929</v>
      </c>
      <c r="D446" s="561" t="s">
        <v>6343</v>
      </c>
      <c r="E446" s="573">
        <v>10000</v>
      </c>
      <c r="F446" s="561" t="s">
        <v>3241</v>
      </c>
      <c r="G446" s="571" t="s">
        <v>19</v>
      </c>
      <c r="H446" s="571" t="s">
        <v>35</v>
      </c>
      <c r="I446" s="571" t="s">
        <v>250</v>
      </c>
      <c r="J446" s="571">
        <v>44280</v>
      </c>
      <c r="K446" s="574" t="s">
        <v>3803</v>
      </c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70"/>
      <c r="AH446" s="570"/>
      <c r="AI446" s="570"/>
      <c r="AJ446" s="570"/>
      <c r="AK446" s="570"/>
      <c r="AL446" s="570"/>
      <c r="AM446" s="570"/>
      <c r="AN446" s="570"/>
      <c r="AO446" s="570"/>
      <c r="AP446" s="570"/>
      <c r="AQ446" s="570"/>
      <c r="AR446" s="570"/>
      <c r="AS446" s="570"/>
      <c r="AT446" s="570"/>
      <c r="AU446" s="570"/>
    </row>
    <row r="447" spans="1:47" ht="15.75" customHeight="1">
      <c r="A447" s="575">
        <v>44393</v>
      </c>
      <c r="B447" s="576" t="s">
        <v>6511</v>
      </c>
      <c r="C447" s="405" t="s">
        <v>2929</v>
      </c>
      <c r="D447" s="561" t="s">
        <v>6343</v>
      </c>
      <c r="E447" s="573">
        <v>20000</v>
      </c>
      <c r="F447" s="561" t="s">
        <v>3303</v>
      </c>
      <c r="G447" s="571" t="s">
        <v>19</v>
      </c>
      <c r="H447" s="571" t="s">
        <v>35</v>
      </c>
      <c r="I447" s="571" t="s">
        <v>199</v>
      </c>
      <c r="J447" s="571">
        <v>44263</v>
      </c>
      <c r="K447" s="574" t="s">
        <v>3797</v>
      </c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70"/>
      <c r="AH447" s="570"/>
      <c r="AI447" s="570"/>
      <c r="AJ447" s="570"/>
      <c r="AK447" s="570"/>
      <c r="AL447" s="570"/>
      <c r="AM447" s="570"/>
      <c r="AN447" s="570"/>
      <c r="AO447" s="570"/>
      <c r="AP447" s="570"/>
      <c r="AQ447" s="570"/>
      <c r="AR447" s="570"/>
      <c r="AS447" s="570"/>
      <c r="AT447" s="570"/>
      <c r="AU447" s="570"/>
    </row>
    <row r="448" spans="1:47" ht="15.75" customHeight="1">
      <c r="A448" s="575">
        <v>44393</v>
      </c>
      <c r="B448" s="576" t="s">
        <v>6349</v>
      </c>
      <c r="C448" s="405" t="s">
        <v>2929</v>
      </c>
      <c r="D448" s="561" t="s">
        <v>6343</v>
      </c>
      <c r="E448" s="573">
        <v>50000</v>
      </c>
      <c r="F448" s="561" t="s">
        <v>3198</v>
      </c>
      <c r="G448" s="571" t="s">
        <v>2931</v>
      </c>
      <c r="H448" s="571" t="s">
        <v>20</v>
      </c>
      <c r="I448" s="571" t="s">
        <v>2932</v>
      </c>
      <c r="J448" s="571">
        <v>43703</v>
      </c>
      <c r="K448" s="574" t="s">
        <v>4196</v>
      </c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70"/>
      <c r="AH448" s="570"/>
      <c r="AI448" s="570"/>
      <c r="AJ448" s="570"/>
      <c r="AK448" s="570"/>
      <c r="AL448" s="570"/>
      <c r="AM448" s="570"/>
      <c r="AN448" s="570"/>
      <c r="AO448" s="570"/>
      <c r="AP448" s="570"/>
      <c r="AQ448" s="570"/>
      <c r="AR448" s="570"/>
      <c r="AS448" s="570"/>
      <c r="AT448" s="570"/>
      <c r="AU448" s="570"/>
    </row>
    <row r="449" spans="1:47" ht="15.75" customHeight="1">
      <c r="A449" s="571">
        <v>44396</v>
      </c>
      <c r="B449" s="572" t="s">
        <v>6512</v>
      </c>
      <c r="C449" s="561" t="s">
        <v>3793</v>
      </c>
      <c r="D449" s="561" t="s">
        <v>956</v>
      </c>
      <c r="E449" s="573">
        <v>0</v>
      </c>
      <c r="F449" s="561" t="s">
        <v>3838</v>
      </c>
      <c r="G449" s="561" t="s">
        <v>46</v>
      </c>
      <c r="H449" s="561" t="s">
        <v>20</v>
      </c>
      <c r="I449" s="561" t="s">
        <v>3640</v>
      </c>
      <c r="J449" s="571">
        <v>44085</v>
      </c>
      <c r="K449" s="577" t="s">
        <v>3813</v>
      </c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70"/>
      <c r="AH449" s="570"/>
      <c r="AI449" s="570"/>
      <c r="AJ449" s="570"/>
      <c r="AK449" s="570"/>
      <c r="AL449" s="570"/>
      <c r="AM449" s="570"/>
      <c r="AN449" s="570"/>
      <c r="AO449" s="570"/>
      <c r="AP449" s="570"/>
      <c r="AQ449" s="570"/>
      <c r="AR449" s="570"/>
      <c r="AS449" s="570"/>
      <c r="AT449" s="570"/>
      <c r="AU449" s="570"/>
    </row>
    <row r="450" spans="1:47" ht="15.75" customHeight="1">
      <c r="A450" s="575">
        <v>44396</v>
      </c>
      <c r="B450" s="576" t="s">
        <v>6370</v>
      </c>
      <c r="C450" s="405" t="s">
        <v>2929</v>
      </c>
      <c r="D450" s="561" t="s">
        <v>6343</v>
      </c>
      <c r="E450" s="573">
        <v>10000</v>
      </c>
      <c r="F450" s="561" t="s">
        <v>3356</v>
      </c>
      <c r="G450" s="571" t="s">
        <v>2931</v>
      </c>
      <c r="H450" s="571" t="s">
        <v>20</v>
      </c>
      <c r="I450" s="571" t="s">
        <v>2932</v>
      </c>
      <c r="J450" s="571">
        <v>43564</v>
      </c>
      <c r="K450" s="574" t="s">
        <v>3817</v>
      </c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70"/>
      <c r="AH450" s="570"/>
      <c r="AI450" s="570"/>
      <c r="AJ450" s="570"/>
      <c r="AK450" s="570"/>
      <c r="AL450" s="570"/>
      <c r="AM450" s="570"/>
      <c r="AN450" s="570"/>
      <c r="AO450" s="570"/>
      <c r="AP450" s="570"/>
      <c r="AQ450" s="570"/>
      <c r="AR450" s="570"/>
      <c r="AS450" s="570"/>
      <c r="AT450" s="570"/>
      <c r="AU450" s="570"/>
    </row>
    <row r="451" spans="1:47" ht="15.75" customHeight="1">
      <c r="A451" s="575">
        <v>44396</v>
      </c>
      <c r="B451" s="576" t="s">
        <v>6475</v>
      </c>
      <c r="C451" s="405" t="s">
        <v>2929</v>
      </c>
      <c r="D451" s="561" t="s">
        <v>6343</v>
      </c>
      <c r="E451" s="573">
        <v>30000</v>
      </c>
      <c r="F451" s="561" t="s">
        <v>3339</v>
      </c>
      <c r="G451" s="571" t="s">
        <v>19</v>
      </c>
      <c r="H451" s="571" t="s">
        <v>35</v>
      </c>
      <c r="I451" s="571" t="s">
        <v>250</v>
      </c>
      <c r="J451" s="571">
        <v>44322</v>
      </c>
      <c r="K451" s="574" t="s">
        <v>3803</v>
      </c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70"/>
      <c r="AH451" s="570"/>
      <c r="AI451" s="570"/>
      <c r="AJ451" s="570"/>
      <c r="AK451" s="570"/>
      <c r="AL451" s="570"/>
      <c r="AM451" s="570"/>
      <c r="AN451" s="570"/>
      <c r="AO451" s="570"/>
      <c r="AP451" s="570"/>
      <c r="AQ451" s="570"/>
      <c r="AR451" s="570"/>
      <c r="AS451" s="570"/>
      <c r="AT451" s="570"/>
      <c r="AU451" s="570"/>
    </row>
    <row r="452" spans="1:47" ht="15.75" customHeight="1">
      <c r="A452" s="575">
        <v>44397</v>
      </c>
      <c r="B452" s="576" t="s">
        <v>6365</v>
      </c>
      <c r="C452" s="405" t="s">
        <v>2929</v>
      </c>
      <c r="D452" s="561" t="s">
        <v>6343</v>
      </c>
      <c r="E452" s="573">
        <v>300000</v>
      </c>
      <c r="F452" s="561" t="s">
        <v>3452</v>
      </c>
      <c r="G452" s="571" t="s">
        <v>2931</v>
      </c>
      <c r="H452" s="571" t="s">
        <v>20</v>
      </c>
      <c r="I452" s="571" t="s">
        <v>2932</v>
      </c>
      <c r="J452" s="571">
        <v>43894</v>
      </c>
      <c r="K452" s="574" t="s">
        <v>3813</v>
      </c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70"/>
      <c r="AH452" s="570"/>
      <c r="AI452" s="570"/>
      <c r="AJ452" s="570"/>
      <c r="AK452" s="570"/>
      <c r="AL452" s="570"/>
      <c r="AM452" s="570"/>
      <c r="AN452" s="570"/>
      <c r="AO452" s="570"/>
      <c r="AP452" s="570"/>
      <c r="AQ452" s="570"/>
      <c r="AR452" s="570"/>
      <c r="AS452" s="570"/>
      <c r="AT452" s="570"/>
      <c r="AU452" s="570"/>
    </row>
    <row r="453" spans="1:47" ht="15.75" customHeight="1">
      <c r="A453" s="575">
        <v>44397</v>
      </c>
      <c r="B453" s="576" t="s">
        <v>6411</v>
      </c>
      <c r="C453" s="405" t="s">
        <v>2929</v>
      </c>
      <c r="D453" s="561" t="s">
        <v>6343</v>
      </c>
      <c r="E453" s="573">
        <v>10000</v>
      </c>
      <c r="F453" s="561" t="s">
        <v>3264</v>
      </c>
      <c r="G453" s="571" t="s">
        <v>19</v>
      </c>
      <c r="H453" s="571" t="s">
        <v>35</v>
      </c>
      <c r="I453" s="571" t="s">
        <v>199</v>
      </c>
      <c r="J453" s="571">
        <v>44295</v>
      </c>
      <c r="K453" s="574" t="s">
        <v>3810</v>
      </c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70"/>
      <c r="AH453" s="570"/>
      <c r="AI453" s="570"/>
      <c r="AJ453" s="570"/>
      <c r="AK453" s="570"/>
      <c r="AL453" s="570"/>
      <c r="AM453" s="570"/>
      <c r="AN453" s="570"/>
      <c r="AO453" s="570"/>
      <c r="AP453" s="570"/>
      <c r="AQ453" s="570"/>
      <c r="AR453" s="570"/>
      <c r="AS453" s="570"/>
      <c r="AT453" s="570"/>
      <c r="AU453" s="570"/>
    </row>
    <row r="454" spans="1:47" ht="15.75" customHeight="1">
      <c r="A454" s="575">
        <v>44398</v>
      </c>
      <c r="B454" s="576" t="s">
        <v>6475</v>
      </c>
      <c r="C454" s="405" t="s">
        <v>2929</v>
      </c>
      <c r="D454" s="561" t="s">
        <v>6343</v>
      </c>
      <c r="E454" s="573">
        <v>468601.48</v>
      </c>
      <c r="F454" s="561" t="s">
        <v>3339</v>
      </c>
      <c r="G454" s="571" t="s">
        <v>19</v>
      </c>
      <c r="H454" s="571" t="s">
        <v>35</v>
      </c>
      <c r="I454" s="571" t="s">
        <v>250</v>
      </c>
      <c r="J454" s="571">
        <v>44322</v>
      </c>
      <c r="K454" s="574" t="s">
        <v>3803</v>
      </c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70"/>
      <c r="AH454" s="570"/>
      <c r="AI454" s="570"/>
      <c r="AJ454" s="570"/>
      <c r="AK454" s="570"/>
      <c r="AL454" s="570"/>
      <c r="AM454" s="570"/>
      <c r="AN454" s="570"/>
      <c r="AO454" s="570"/>
      <c r="AP454" s="570"/>
      <c r="AQ454" s="570"/>
      <c r="AR454" s="570"/>
      <c r="AS454" s="570"/>
      <c r="AT454" s="570"/>
      <c r="AU454" s="570"/>
    </row>
    <row r="455" spans="1:47" ht="15.75" customHeight="1">
      <c r="A455" s="575">
        <v>44398</v>
      </c>
      <c r="B455" s="576" t="s">
        <v>6479</v>
      </c>
      <c r="C455" s="405" t="s">
        <v>2929</v>
      </c>
      <c r="D455" s="561" t="s">
        <v>6343</v>
      </c>
      <c r="E455" s="579">
        <v>2200</v>
      </c>
      <c r="F455" s="561" t="s">
        <v>1937</v>
      </c>
      <c r="G455" s="571" t="s">
        <v>19</v>
      </c>
      <c r="H455" s="571" t="s">
        <v>35</v>
      </c>
      <c r="I455" s="571" t="s">
        <v>199</v>
      </c>
      <c r="J455" s="571">
        <v>44322</v>
      </c>
      <c r="K455" s="574" t="s">
        <v>3803</v>
      </c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70"/>
      <c r="AH455" s="570"/>
      <c r="AI455" s="570"/>
      <c r="AJ455" s="570"/>
      <c r="AK455" s="570"/>
      <c r="AL455" s="570"/>
      <c r="AM455" s="570"/>
      <c r="AN455" s="570"/>
      <c r="AO455" s="570"/>
      <c r="AP455" s="570"/>
      <c r="AQ455" s="570"/>
      <c r="AR455" s="570"/>
      <c r="AS455" s="570"/>
      <c r="AT455" s="570"/>
      <c r="AU455" s="570"/>
    </row>
    <row r="456" spans="1:47" ht="15.75" customHeight="1">
      <c r="A456" s="575">
        <v>44399</v>
      </c>
      <c r="B456" s="576" t="s">
        <v>6475</v>
      </c>
      <c r="C456" s="405" t="s">
        <v>2929</v>
      </c>
      <c r="D456" s="561" t="s">
        <v>6343</v>
      </c>
      <c r="E456" s="573">
        <v>20000</v>
      </c>
      <c r="F456" s="561" t="s">
        <v>3339</v>
      </c>
      <c r="G456" s="571" t="s">
        <v>19</v>
      </c>
      <c r="H456" s="571" t="s">
        <v>35</v>
      </c>
      <c r="I456" s="571" t="s">
        <v>250</v>
      </c>
      <c r="J456" s="571">
        <v>44322</v>
      </c>
      <c r="K456" s="574" t="s">
        <v>3803</v>
      </c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70"/>
      <c r="AH456" s="570"/>
      <c r="AI456" s="570"/>
      <c r="AJ456" s="570"/>
      <c r="AK456" s="570"/>
      <c r="AL456" s="570"/>
      <c r="AM456" s="570"/>
      <c r="AN456" s="570"/>
      <c r="AO456" s="570"/>
      <c r="AP456" s="570"/>
      <c r="AQ456" s="570"/>
      <c r="AR456" s="570"/>
      <c r="AS456" s="570"/>
      <c r="AT456" s="570"/>
      <c r="AU456" s="570"/>
    </row>
    <row r="457" spans="1:47" ht="15.75" customHeight="1">
      <c r="A457" s="575">
        <v>44400</v>
      </c>
      <c r="B457" s="576" t="s">
        <v>6483</v>
      </c>
      <c r="C457" s="405" t="s">
        <v>2929</v>
      </c>
      <c r="D457" s="561" t="s">
        <v>6343</v>
      </c>
      <c r="E457" s="573">
        <v>15000</v>
      </c>
      <c r="F457" s="561" t="s">
        <v>3207</v>
      </c>
      <c r="G457" s="571" t="s">
        <v>2931</v>
      </c>
      <c r="H457" s="571" t="s">
        <v>20</v>
      </c>
      <c r="I457" s="571" t="s">
        <v>2938</v>
      </c>
      <c r="J457" s="571">
        <v>43752</v>
      </c>
      <c r="K457" s="574" t="s">
        <v>3803</v>
      </c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70"/>
      <c r="AH457" s="570"/>
      <c r="AI457" s="570"/>
      <c r="AJ457" s="570"/>
      <c r="AK457" s="570"/>
      <c r="AL457" s="570"/>
      <c r="AM457" s="570"/>
      <c r="AN457" s="570"/>
      <c r="AO457" s="570"/>
      <c r="AP457" s="570"/>
      <c r="AQ457" s="570"/>
      <c r="AR457" s="570"/>
      <c r="AS457" s="570"/>
      <c r="AT457" s="570"/>
      <c r="AU457" s="570"/>
    </row>
    <row r="458" spans="1:47" ht="15.75" customHeight="1">
      <c r="A458" s="575">
        <v>44403</v>
      </c>
      <c r="B458" s="576" t="s">
        <v>6506</v>
      </c>
      <c r="C458" s="405" t="s">
        <v>2929</v>
      </c>
      <c r="D458" s="561" t="s">
        <v>6343</v>
      </c>
      <c r="E458" s="573">
        <v>30000</v>
      </c>
      <c r="F458" s="561" t="s">
        <v>2941</v>
      </c>
      <c r="G458" s="571" t="s">
        <v>19</v>
      </c>
      <c r="H458" s="571" t="s">
        <v>35</v>
      </c>
      <c r="I458" s="571" t="s">
        <v>250</v>
      </c>
      <c r="J458" s="571">
        <v>44321</v>
      </c>
      <c r="K458" s="574" t="s">
        <v>3813</v>
      </c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70"/>
      <c r="AH458" s="570"/>
      <c r="AI458" s="570"/>
      <c r="AJ458" s="570"/>
      <c r="AK458" s="570"/>
      <c r="AL458" s="570"/>
      <c r="AM458" s="570"/>
      <c r="AN458" s="570"/>
      <c r="AO458" s="570"/>
      <c r="AP458" s="570"/>
      <c r="AQ458" s="570"/>
      <c r="AR458" s="570"/>
      <c r="AS458" s="570"/>
      <c r="AT458" s="570"/>
      <c r="AU458" s="570"/>
    </row>
    <row r="459" spans="1:47" ht="15.75" customHeight="1">
      <c r="A459" s="575">
        <v>44403</v>
      </c>
      <c r="B459" s="576" t="s">
        <v>6412</v>
      </c>
      <c r="C459" s="405" t="s">
        <v>2929</v>
      </c>
      <c r="D459" s="561" t="s">
        <v>6343</v>
      </c>
      <c r="E459" s="573">
        <v>40000</v>
      </c>
      <c r="F459" s="561" t="s">
        <v>3172</v>
      </c>
      <c r="G459" s="571" t="s">
        <v>19</v>
      </c>
      <c r="H459" s="571" t="s">
        <v>35</v>
      </c>
      <c r="I459" s="571" t="s">
        <v>199</v>
      </c>
      <c r="J459" s="571">
        <v>44272</v>
      </c>
      <c r="K459" s="574" t="s">
        <v>6413</v>
      </c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70"/>
      <c r="AH459" s="570"/>
      <c r="AI459" s="570"/>
      <c r="AJ459" s="570"/>
      <c r="AK459" s="570"/>
      <c r="AL459" s="570"/>
      <c r="AM459" s="570"/>
      <c r="AN459" s="570"/>
      <c r="AO459" s="570"/>
      <c r="AP459" s="570"/>
      <c r="AQ459" s="570"/>
      <c r="AR459" s="570"/>
      <c r="AS459" s="570"/>
      <c r="AT459" s="570"/>
      <c r="AU459" s="570"/>
    </row>
    <row r="460" spans="1:47" ht="15.75" customHeight="1">
      <c r="A460" s="575">
        <v>44404</v>
      </c>
      <c r="B460" s="576" t="s">
        <v>6513</v>
      </c>
      <c r="C460" s="561" t="s">
        <v>3793</v>
      </c>
      <c r="D460" s="561" t="s">
        <v>956</v>
      </c>
      <c r="E460" s="573">
        <v>0</v>
      </c>
      <c r="F460" s="561" t="s">
        <v>4420</v>
      </c>
      <c r="G460" s="561" t="s">
        <v>19</v>
      </c>
      <c r="H460" s="561" t="s">
        <v>66</v>
      </c>
      <c r="I460" s="561" t="s">
        <v>316</v>
      </c>
      <c r="J460" s="571"/>
      <c r="K460" s="577" t="s">
        <v>3803</v>
      </c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70"/>
      <c r="AH460" s="570"/>
      <c r="AI460" s="570"/>
      <c r="AJ460" s="570"/>
      <c r="AK460" s="570"/>
      <c r="AL460" s="570"/>
      <c r="AM460" s="570"/>
      <c r="AN460" s="570"/>
      <c r="AO460" s="570"/>
      <c r="AP460" s="570"/>
      <c r="AQ460" s="570"/>
      <c r="AR460" s="570"/>
      <c r="AS460" s="570"/>
      <c r="AT460" s="570"/>
      <c r="AU460" s="570"/>
    </row>
    <row r="461" spans="1:47" ht="15.75" customHeight="1">
      <c r="A461" s="575">
        <v>44405</v>
      </c>
      <c r="B461" s="576" t="s">
        <v>6477</v>
      </c>
      <c r="C461" s="405" t="s">
        <v>2929</v>
      </c>
      <c r="D461" s="561" t="s">
        <v>6343</v>
      </c>
      <c r="E461" s="573">
        <v>100000</v>
      </c>
      <c r="F461" s="561" t="s">
        <v>3472</v>
      </c>
      <c r="G461" s="571" t="s">
        <v>19</v>
      </c>
      <c r="H461" s="571" t="s">
        <v>35</v>
      </c>
      <c r="I461" s="571" t="s">
        <v>250</v>
      </c>
      <c r="J461" s="571">
        <v>44319</v>
      </c>
      <c r="K461" s="574" t="s">
        <v>3803</v>
      </c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70"/>
      <c r="AH461" s="570"/>
      <c r="AI461" s="570"/>
      <c r="AJ461" s="570"/>
      <c r="AK461" s="570"/>
      <c r="AL461" s="570"/>
      <c r="AM461" s="570"/>
      <c r="AN461" s="570"/>
      <c r="AO461" s="570"/>
      <c r="AP461" s="570"/>
      <c r="AQ461" s="570"/>
      <c r="AR461" s="570"/>
      <c r="AS461" s="570"/>
      <c r="AT461" s="570"/>
      <c r="AU461" s="570"/>
    </row>
    <row r="462" spans="1:47" ht="15.75" customHeight="1">
      <c r="A462" s="575">
        <v>44406</v>
      </c>
      <c r="B462" s="576" t="s">
        <v>6514</v>
      </c>
      <c r="C462" s="405" t="s">
        <v>2929</v>
      </c>
      <c r="D462" s="561" t="s">
        <v>921</v>
      </c>
      <c r="E462" s="573">
        <v>15000</v>
      </c>
      <c r="F462" s="561" t="s">
        <v>3186</v>
      </c>
      <c r="G462" s="571" t="s">
        <v>2931</v>
      </c>
      <c r="H462" s="571" t="s">
        <v>20</v>
      </c>
      <c r="I462" s="571" t="s">
        <v>2932</v>
      </c>
      <c r="J462" s="571">
        <v>43859</v>
      </c>
      <c r="K462" s="574" t="s">
        <v>3813</v>
      </c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70"/>
      <c r="AH462" s="570"/>
      <c r="AI462" s="570"/>
      <c r="AJ462" s="570"/>
      <c r="AK462" s="570"/>
      <c r="AL462" s="570"/>
      <c r="AM462" s="570"/>
      <c r="AN462" s="570"/>
      <c r="AO462" s="570"/>
      <c r="AP462" s="570"/>
      <c r="AQ462" s="570"/>
      <c r="AR462" s="570"/>
      <c r="AS462" s="570"/>
      <c r="AT462" s="570"/>
      <c r="AU462" s="570"/>
    </row>
    <row r="463" spans="1:47" ht="15.75" customHeight="1">
      <c r="A463" s="575">
        <v>44407</v>
      </c>
      <c r="B463" s="576" t="s">
        <v>6515</v>
      </c>
      <c r="C463" s="405" t="s">
        <v>3793</v>
      </c>
      <c r="D463" s="561" t="s">
        <v>6343</v>
      </c>
      <c r="E463" s="573">
        <v>3440319.83</v>
      </c>
      <c r="F463" s="561" t="s">
        <v>4359</v>
      </c>
      <c r="G463" s="561" t="s">
        <v>19</v>
      </c>
      <c r="H463" s="561" t="s">
        <v>20</v>
      </c>
      <c r="I463" s="561" t="s">
        <v>3689</v>
      </c>
      <c r="J463" s="571"/>
      <c r="K463" s="577" t="s">
        <v>3817</v>
      </c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70"/>
      <c r="AH463" s="570"/>
      <c r="AI463" s="570"/>
      <c r="AJ463" s="570"/>
      <c r="AK463" s="570"/>
      <c r="AL463" s="570"/>
      <c r="AM463" s="570"/>
      <c r="AN463" s="570"/>
      <c r="AO463" s="570"/>
      <c r="AP463" s="570"/>
      <c r="AQ463" s="570"/>
      <c r="AR463" s="570"/>
      <c r="AS463" s="570"/>
      <c r="AT463" s="570"/>
      <c r="AU463" s="570"/>
    </row>
    <row r="464" spans="1:47" ht="15.75" customHeight="1">
      <c r="A464" s="575">
        <v>44407</v>
      </c>
      <c r="B464" s="576" t="s">
        <v>6475</v>
      </c>
      <c r="C464" s="405" t="s">
        <v>2929</v>
      </c>
      <c r="D464" s="561" t="s">
        <v>6343</v>
      </c>
      <c r="E464" s="573">
        <v>10000</v>
      </c>
      <c r="F464" s="561" t="s">
        <v>3339</v>
      </c>
      <c r="G464" s="571" t="s">
        <v>19</v>
      </c>
      <c r="H464" s="571" t="s">
        <v>35</v>
      </c>
      <c r="I464" s="571" t="s">
        <v>250</v>
      </c>
      <c r="J464" s="571">
        <v>44322</v>
      </c>
      <c r="K464" s="574" t="s">
        <v>3803</v>
      </c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70"/>
      <c r="AH464" s="570"/>
      <c r="AI464" s="570"/>
      <c r="AJ464" s="570"/>
      <c r="AK464" s="570"/>
      <c r="AL464" s="570"/>
      <c r="AM464" s="570"/>
      <c r="AN464" s="570"/>
      <c r="AO464" s="570"/>
      <c r="AP464" s="570"/>
      <c r="AQ464" s="570"/>
      <c r="AR464" s="570"/>
      <c r="AS464" s="570"/>
      <c r="AT464" s="570"/>
      <c r="AU464" s="570"/>
    </row>
    <row r="465" spans="1:47" ht="15.75" customHeight="1">
      <c r="A465" s="575">
        <v>44407</v>
      </c>
      <c r="B465" s="576" t="s">
        <v>6444</v>
      </c>
      <c r="C465" s="405" t="s">
        <v>3793</v>
      </c>
      <c r="D465" s="561" t="s">
        <v>6343</v>
      </c>
      <c r="E465" s="573">
        <v>155000</v>
      </c>
      <c r="F465" s="561" t="s">
        <v>5095</v>
      </c>
      <c r="G465" s="553" t="s">
        <v>46</v>
      </c>
      <c r="H465" s="561" t="s">
        <v>20</v>
      </c>
      <c r="I465" s="553" t="s">
        <v>4480</v>
      </c>
      <c r="J465" s="591">
        <v>44180</v>
      </c>
      <c r="K465" s="577" t="s">
        <v>3803</v>
      </c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70"/>
      <c r="AH465" s="570"/>
      <c r="AI465" s="570"/>
      <c r="AJ465" s="570"/>
      <c r="AK465" s="570"/>
      <c r="AL465" s="570"/>
      <c r="AM465" s="570"/>
      <c r="AN465" s="570"/>
      <c r="AO465" s="570"/>
      <c r="AP465" s="570"/>
      <c r="AQ465" s="570"/>
      <c r="AR465" s="570"/>
      <c r="AS465" s="570"/>
      <c r="AT465" s="570"/>
      <c r="AU465" s="570"/>
    </row>
    <row r="466" spans="1:47" ht="15.75" customHeight="1">
      <c r="A466" s="595">
        <v>44407</v>
      </c>
      <c r="B466" s="583" t="s">
        <v>6516</v>
      </c>
      <c r="C466" s="530" t="s">
        <v>3793</v>
      </c>
      <c r="D466" s="596" t="s">
        <v>6343</v>
      </c>
      <c r="E466" s="597">
        <v>5000</v>
      </c>
      <c r="F466" s="596" t="s">
        <v>687</v>
      </c>
      <c r="G466" s="596" t="s">
        <v>19</v>
      </c>
      <c r="H466" s="596" t="s">
        <v>66</v>
      </c>
      <c r="I466" s="596" t="s">
        <v>316</v>
      </c>
      <c r="J466" s="595">
        <v>44407</v>
      </c>
      <c r="K466" s="598" t="s">
        <v>3797</v>
      </c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70"/>
      <c r="AH466" s="570"/>
      <c r="AI466" s="570"/>
      <c r="AJ466" s="570"/>
      <c r="AK466" s="570"/>
      <c r="AL466" s="570"/>
      <c r="AM466" s="570"/>
      <c r="AN466" s="570"/>
      <c r="AO466" s="570"/>
      <c r="AP466" s="570"/>
      <c r="AQ466" s="570"/>
      <c r="AR466" s="570"/>
      <c r="AS466" s="570"/>
      <c r="AT466" s="570"/>
      <c r="AU466" s="570"/>
    </row>
    <row r="467" spans="1:47" ht="15.75" customHeight="1">
      <c r="A467" s="571">
        <v>44408</v>
      </c>
      <c r="B467" s="572" t="s">
        <v>6488</v>
      </c>
      <c r="C467" s="561" t="s">
        <v>3793</v>
      </c>
      <c r="D467" s="561" t="s">
        <v>956</v>
      </c>
      <c r="E467" s="573">
        <v>0</v>
      </c>
      <c r="F467" s="561" t="s">
        <v>4963</v>
      </c>
      <c r="G467" s="561" t="s">
        <v>46</v>
      </c>
      <c r="H467" s="561" t="s">
        <v>20</v>
      </c>
      <c r="I467" s="561" t="s">
        <v>3640</v>
      </c>
      <c r="J467" s="571">
        <v>44090</v>
      </c>
      <c r="K467" s="577" t="s">
        <v>3813</v>
      </c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70"/>
      <c r="AH467" s="570"/>
      <c r="AI467" s="570"/>
      <c r="AJ467" s="570"/>
      <c r="AK467" s="570"/>
      <c r="AL467" s="570"/>
      <c r="AM467" s="570"/>
      <c r="AN467" s="570"/>
      <c r="AO467" s="570"/>
      <c r="AP467" s="570"/>
      <c r="AQ467" s="570"/>
      <c r="AR467" s="570"/>
      <c r="AS467" s="570"/>
      <c r="AT467" s="570"/>
      <c r="AU467" s="570"/>
    </row>
    <row r="468" spans="1:47" ht="15.75" customHeight="1">
      <c r="A468" s="575">
        <v>44410</v>
      </c>
      <c r="B468" s="576" t="s">
        <v>6474</v>
      </c>
      <c r="C468" s="405" t="s">
        <v>2929</v>
      </c>
      <c r="D468" s="561" t="s">
        <v>6343</v>
      </c>
      <c r="E468" s="573">
        <v>150000</v>
      </c>
      <c r="F468" s="561" t="s">
        <v>3001</v>
      </c>
      <c r="G468" s="571" t="s">
        <v>19</v>
      </c>
      <c r="H468" s="571" t="s">
        <v>35</v>
      </c>
      <c r="I468" s="571" t="s">
        <v>250</v>
      </c>
      <c r="J468" s="571">
        <v>44295</v>
      </c>
      <c r="K468" s="574" t="s">
        <v>3797</v>
      </c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70"/>
      <c r="AH468" s="570"/>
      <c r="AI468" s="570"/>
      <c r="AJ468" s="570"/>
      <c r="AK468" s="570"/>
      <c r="AL468" s="570"/>
      <c r="AM468" s="570"/>
      <c r="AN468" s="570"/>
      <c r="AO468" s="570"/>
      <c r="AP468" s="570"/>
      <c r="AQ468" s="570"/>
      <c r="AR468" s="570"/>
      <c r="AS468" s="570"/>
      <c r="AT468" s="570"/>
      <c r="AU468" s="570"/>
    </row>
    <row r="469" spans="1:47" ht="15.75" customHeight="1">
      <c r="A469" s="575">
        <v>44410</v>
      </c>
      <c r="B469" s="576" t="s">
        <v>6410</v>
      </c>
      <c r="C469" s="405" t="s">
        <v>2929</v>
      </c>
      <c r="D469" s="561" t="s">
        <v>6343</v>
      </c>
      <c r="E469" s="573">
        <v>13000</v>
      </c>
      <c r="F469" s="561" t="s">
        <v>850</v>
      </c>
      <c r="G469" s="571" t="s">
        <v>19</v>
      </c>
      <c r="H469" s="571" t="s">
        <v>35</v>
      </c>
      <c r="I469" s="571" t="s">
        <v>199</v>
      </c>
      <c r="J469" s="571">
        <v>44321</v>
      </c>
      <c r="K469" s="574" t="s">
        <v>3803</v>
      </c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70"/>
      <c r="AH469" s="570"/>
      <c r="AI469" s="570"/>
      <c r="AJ469" s="570"/>
      <c r="AK469" s="570"/>
      <c r="AL469" s="570"/>
      <c r="AM469" s="570"/>
      <c r="AN469" s="570"/>
      <c r="AO469" s="570"/>
      <c r="AP469" s="570"/>
      <c r="AQ469" s="570"/>
      <c r="AR469" s="570"/>
      <c r="AS469" s="570"/>
      <c r="AT469" s="570"/>
      <c r="AU469" s="570"/>
    </row>
    <row r="470" spans="1:47" ht="15.75" customHeight="1">
      <c r="A470" s="575">
        <v>44410</v>
      </c>
      <c r="B470" s="576" t="s">
        <v>6517</v>
      </c>
      <c r="C470" s="405" t="s">
        <v>3793</v>
      </c>
      <c r="D470" s="561" t="s">
        <v>6343</v>
      </c>
      <c r="E470" s="573">
        <v>199844.32</v>
      </c>
      <c r="F470" s="561" t="s">
        <v>4397</v>
      </c>
      <c r="G470" s="561" t="s">
        <v>46</v>
      </c>
      <c r="H470" s="561" t="s">
        <v>20</v>
      </c>
      <c r="I470" s="561" t="s">
        <v>3640</v>
      </c>
      <c r="J470" s="571">
        <v>44228</v>
      </c>
      <c r="K470" s="577" t="s">
        <v>3797</v>
      </c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70"/>
      <c r="AH470" s="570"/>
      <c r="AI470" s="570"/>
      <c r="AJ470" s="570"/>
      <c r="AK470" s="570"/>
      <c r="AL470" s="570"/>
      <c r="AM470" s="570"/>
      <c r="AN470" s="570"/>
      <c r="AO470" s="570"/>
      <c r="AP470" s="570"/>
      <c r="AQ470" s="570"/>
      <c r="AR470" s="570"/>
      <c r="AS470" s="570"/>
      <c r="AT470" s="570"/>
      <c r="AU470" s="570"/>
    </row>
    <row r="471" spans="1:47" ht="15.75" customHeight="1">
      <c r="A471" s="575">
        <v>44410</v>
      </c>
      <c r="B471" s="576" t="s">
        <v>6475</v>
      </c>
      <c r="C471" s="405" t="s">
        <v>2929</v>
      </c>
      <c r="D471" s="561" t="s">
        <v>6343</v>
      </c>
      <c r="E471" s="573">
        <v>10000</v>
      </c>
      <c r="F471" s="561" t="s">
        <v>3339</v>
      </c>
      <c r="G471" s="571" t="s">
        <v>19</v>
      </c>
      <c r="H471" s="571" t="s">
        <v>35</v>
      </c>
      <c r="I471" s="571" t="s">
        <v>250</v>
      </c>
      <c r="J471" s="571">
        <v>44322</v>
      </c>
      <c r="K471" s="574" t="s">
        <v>3803</v>
      </c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70"/>
      <c r="AH471" s="570"/>
      <c r="AI471" s="570"/>
      <c r="AJ471" s="570"/>
      <c r="AK471" s="570"/>
      <c r="AL471" s="570"/>
      <c r="AM471" s="570"/>
      <c r="AN471" s="570"/>
      <c r="AO471" s="570"/>
      <c r="AP471" s="570"/>
      <c r="AQ471" s="570"/>
      <c r="AR471" s="570"/>
      <c r="AS471" s="570"/>
      <c r="AT471" s="570"/>
      <c r="AU471" s="570"/>
    </row>
    <row r="472" spans="1:47" ht="15.75" customHeight="1">
      <c r="A472" s="575">
        <v>44411</v>
      </c>
      <c r="B472" s="576" t="s">
        <v>6412</v>
      </c>
      <c r="C472" s="405" t="s">
        <v>2929</v>
      </c>
      <c r="D472" s="561" t="s">
        <v>921</v>
      </c>
      <c r="E472" s="573">
        <v>30000</v>
      </c>
      <c r="F472" s="561" t="s">
        <v>3172</v>
      </c>
      <c r="G472" s="571" t="s">
        <v>19</v>
      </c>
      <c r="H472" s="571" t="s">
        <v>35</v>
      </c>
      <c r="I472" s="571" t="s">
        <v>199</v>
      </c>
      <c r="J472" s="571">
        <v>44272</v>
      </c>
      <c r="K472" s="574" t="s">
        <v>6413</v>
      </c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70"/>
      <c r="AH472" s="570"/>
      <c r="AI472" s="570"/>
      <c r="AJ472" s="570"/>
      <c r="AK472" s="570"/>
      <c r="AL472" s="570"/>
      <c r="AM472" s="570"/>
      <c r="AN472" s="570"/>
      <c r="AO472" s="570"/>
      <c r="AP472" s="570"/>
      <c r="AQ472" s="570"/>
      <c r="AR472" s="570"/>
      <c r="AS472" s="570"/>
      <c r="AT472" s="570"/>
      <c r="AU472" s="570"/>
    </row>
    <row r="473" spans="1:47" ht="15.75" customHeight="1">
      <c r="A473" s="571">
        <v>44412</v>
      </c>
      <c r="B473" s="572" t="s">
        <v>6518</v>
      </c>
      <c r="C473" s="561" t="s">
        <v>3793</v>
      </c>
      <c r="D473" s="561" t="s">
        <v>956</v>
      </c>
      <c r="E473" s="573">
        <v>0</v>
      </c>
      <c r="F473" s="561" t="s">
        <v>4045</v>
      </c>
      <c r="G473" s="561" t="s">
        <v>19</v>
      </c>
      <c r="H473" s="561" t="s">
        <v>20</v>
      </c>
      <c r="I473" s="561" t="s">
        <v>3801</v>
      </c>
      <c r="J473" s="571">
        <v>44141</v>
      </c>
      <c r="K473" s="577" t="s">
        <v>3803</v>
      </c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70"/>
      <c r="AH473" s="570"/>
      <c r="AI473" s="570"/>
      <c r="AJ473" s="570"/>
      <c r="AK473" s="570"/>
      <c r="AL473" s="570"/>
      <c r="AM473" s="570"/>
      <c r="AN473" s="570"/>
      <c r="AO473" s="570"/>
      <c r="AP473" s="570"/>
      <c r="AQ473" s="570"/>
      <c r="AR473" s="570"/>
      <c r="AS473" s="570"/>
      <c r="AT473" s="570"/>
      <c r="AU473" s="570"/>
    </row>
    <row r="474" spans="1:47" ht="15.75" customHeight="1">
      <c r="A474" s="575">
        <v>44412</v>
      </c>
      <c r="B474" s="576" t="s">
        <v>6349</v>
      </c>
      <c r="C474" s="405" t="s">
        <v>2929</v>
      </c>
      <c r="D474" s="561" t="s">
        <v>6343</v>
      </c>
      <c r="E474" s="573">
        <v>6000</v>
      </c>
      <c r="F474" s="561" t="s">
        <v>3198</v>
      </c>
      <c r="G474" s="571" t="s">
        <v>2931</v>
      </c>
      <c r="H474" s="571" t="s">
        <v>20</v>
      </c>
      <c r="I474" s="571" t="s">
        <v>2932</v>
      </c>
      <c r="J474" s="571">
        <v>43703</v>
      </c>
      <c r="K474" s="574" t="s">
        <v>4196</v>
      </c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70"/>
      <c r="AH474" s="570"/>
      <c r="AI474" s="570"/>
      <c r="AJ474" s="570"/>
      <c r="AK474" s="570"/>
      <c r="AL474" s="570"/>
      <c r="AM474" s="570"/>
      <c r="AN474" s="570"/>
      <c r="AO474" s="570"/>
      <c r="AP474" s="570"/>
      <c r="AQ474" s="570"/>
      <c r="AR474" s="570"/>
      <c r="AS474" s="570"/>
      <c r="AT474" s="570"/>
      <c r="AU474" s="570"/>
    </row>
    <row r="475" spans="1:47" ht="15.75" customHeight="1">
      <c r="A475" s="575">
        <v>44412</v>
      </c>
      <c r="B475" s="576" t="s">
        <v>6519</v>
      </c>
      <c r="C475" s="405" t="s">
        <v>3793</v>
      </c>
      <c r="D475" s="561" t="s">
        <v>6343</v>
      </c>
      <c r="E475" s="573">
        <v>20000</v>
      </c>
      <c r="F475" s="561" t="s">
        <v>4041</v>
      </c>
      <c r="G475" s="561" t="s">
        <v>2931</v>
      </c>
      <c r="H475" s="561" t="s">
        <v>20</v>
      </c>
      <c r="I475" s="561" t="s">
        <v>2931</v>
      </c>
      <c r="J475" s="571">
        <v>44235</v>
      </c>
      <c r="K475" s="577" t="s">
        <v>3803</v>
      </c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70"/>
      <c r="AH475" s="570"/>
      <c r="AI475" s="570"/>
      <c r="AJ475" s="570"/>
      <c r="AK475" s="570"/>
      <c r="AL475" s="570"/>
      <c r="AM475" s="570"/>
      <c r="AN475" s="570"/>
      <c r="AO475" s="570"/>
      <c r="AP475" s="570"/>
      <c r="AQ475" s="570"/>
      <c r="AR475" s="570"/>
      <c r="AS475" s="570"/>
      <c r="AT475" s="570"/>
      <c r="AU475" s="570"/>
    </row>
    <row r="476" spans="1:47" ht="15.75" customHeight="1">
      <c r="A476" s="575">
        <v>44412</v>
      </c>
      <c r="B476" s="576" t="s">
        <v>6350</v>
      </c>
      <c r="C476" s="405" t="s">
        <v>2929</v>
      </c>
      <c r="D476" s="561" t="s">
        <v>6343</v>
      </c>
      <c r="E476" s="573">
        <v>16000</v>
      </c>
      <c r="F476" s="561" t="s">
        <v>3564</v>
      </c>
      <c r="G476" s="571" t="s">
        <v>2931</v>
      </c>
      <c r="H476" s="571" t="s">
        <v>20</v>
      </c>
      <c r="I476" s="571" t="s">
        <v>2932</v>
      </c>
      <c r="J476" s="571">
        <v>43567</v>
      </c>
      <c r="K476" s="574" t="s">
        <v>3803</v>
      </c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70"/>
      <c r="AH476" s="570"/>
      <c r="AI476" s="570"/>
      <c r="AJ476" s="570"/>
      <c r="AK476" s="570"/>
      <c r="AL476" s="570"/>
      <c r="AM476" s="570"/>
      <c r="AN476" s="570"/>
      <c r="AO476" s="570"/>
      <c r="AP476" s="570"/>
      <c r="AQ476" s="570"/>
      <c r="AR476" s="570"/>
      <c r="AS476" s="570"/>
      <c r="AT476" s="570"/>
      <c r="AU476" s="570"/>
    </row>
    <row r="477" spans="1:47" ht="15.75" customHeight="1">
      <c r="A477" s="571">
        <v>44413</v>
      </c>
      <c r="B477" s="572" t="s">
        <v>6520</v>
      </c>
      <c r="C477" s="561" t="s">
        <v>3793</v>
      </c>
      <c r="D477" s="561" t="s">
        <v>956</v>
      </c>
      <c r="E477" s="573">
        <v>0</v>
      </c>
      <c r="F477" s="561" t="s">
        <v>3980</v>
      </c>
      <c r="G477" s="561" t="s">
        <v>46</v>
      </c>
      <c r="H477" s="561" t="s">
        <v>20</v>
      </c>
      <c r="I477" s="561" t="s">
        <v>3981</v>
      </c>
      <c r="J477" s="571">
        <v>44120</v>
      </c>
      <c r="K477" s="577" t="s">
        <v>3803</v>
      </c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70"/>
      <c r="AH477" s="570"/>
      <c r="AI477" s="570"/>
      <c r="AJ477" s="570"/>
      <c r="AK477" s="570"/>
      <c r="AL477" s="570"/>
      <c r="AM477" s="570"/>
      <c r="AN477" s="570"/>
      <c r="AO477" s="570"/>
      <c r="AP477" s="570"/>
      <c r="AQ477" s="570"/>
      <c r="AR477" s="570"/>
      <c r="AS477" s="570"/>
      <c r="AT477" s="570"/>
      <c r="AU477" s="570"/>
    </row>
    <row r="478" spans="1:47" ht="15.75" customHeight="1">
      <c r="A478" s="575">
        <v>44413</v>
      </c>
      <c r="B478" s="576" t="s">
        <v>6521</v>
      </c>
      <c r="C478" s="405" t="s">
        <v>2929</v>
      </c>
      <c r="D478" s="561" t="s">
        <v>6343</v>
      </c>
      <c r="E478" s="573">
        <v>500</v>
      </c>
      <c r="F478" s="561" t="s">
        <v>736</v>
      </c>
      <c r="G478" s="571" t="s">
        <v>19</v>
      </c>
      <c r="H478" s="571" t="s">
        <v>35</v>
      </c>
      <c r="I478" s="571" t="s">
        <v>199</v>
      </c>
      <c r="J478" s="571">
        <v>44280</v>
      </c>
      <c r="K478" s="574" t="s">
        <v>3803</v>
      </c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70"/>
      <c r="AH478" s="570"/>
      <c r="AI478" s="570"/>
      <c r="AJ478" s="570"/>
      <c r="AK478" s="570"/>
      <c r="AL478" s="570"/>
      <c r="AM478" s="570"/>
      <c r="AN478" s="570"/>
      <c r="AO478" s="570"/>
      <c r="AP478" s="570"/>
      <c r="AQ478" s="570"/>
      <c r="AR478" s="570"/>
      <c r="AS478" s="570"/>
      <c r="AT478" s="570"/>
      <c r="AU478" s="570"/>
    </row>
    <row r="479" spans="1:47" ht="15.75" customHeight="1">
      <c r="A479" s="575">
        <v>44413</v>
      </c>
      <c r="B479" s="576" t="s">
        <v>6520</v>
      </c>
      <c r="C479" s="405" t="s">
        <v>3793</v>
      </c>
      <c r="D479" s="561" t="s">
        <v>921</v>
      </c>
      <c r="E479" s="573">
        <v>200000</v>
      </c>
      <c r="F479" s="561" t="s">
        <v>3980</v>
      </c>
      <c r="G479" s="561" t="s">
        <v>46</v>
      </c>
      <c r="H479" s="561" t="s">
        <v>20</v>
      </c>
      <c r="I479" s="561" t="s">
        <v>3981</v>
      </c>
      <c r="J479" s="571">
        <v>44120</v>
      </c>
      <c r="K479" s="577" t="s">
        <v>3803</v>
      </c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70"/>
      <c r="AH479" s="570"/>
      <c r="AI479" s="570"/>
      <c r="AJ479" s="570"/>
      <c r="AK479" s="570"/>
      <c r="AL479" s="570"/>
      <c r="AM479" s="570"/>
      <c r="AN479" s="570"/>
      <c r="AO479" s="570"/>
      <c r="AP479" s="570"/>
      <c r="AQ479" s="570"/>
      <c r="AR479" s="570"/>
      <c r="AS479" s="570"/>
      <c r="AT479" s="570"/>
      <c r="AU479" s="570"/>
    </row>
    <row r="480" spans="1:47" ht="15.75" customHeight="1">
      <c r="A480" s="575">
        <v>44413</v>
      </c>
      <c r="B480" s="576" t="s">
        <v>6522</v>
      </c>
      <c r="C480" s="405" t="s">
        <v>2929</v>
      </c>
      <c r="D480" s="561" t="s">
        <v>6343</v>
      </c>
      <c r="E480" s="573">
        <v>12000</v>
      </c>
      <c r="F480" s="561" t="s">
        <v>930</v>
      </c>
      <c r="G480" s="571" t="s">
        <v>19</v>
      </c>
      <c r="H480" s="571" t="s">
        <v>35</v>
      </c>
      <c r="I480" s="571" t="s">
        <v>250</v>
      </c>
      <c r="J480" s="571">
        <v>44328</v>
      </c>
      <c r="K480" s="574" t="s">
        <v>3797</v>
      </c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70"/>
      <c r="AH480" s="570"/>
      <c r="AI480" s="570"/>
      <c r="AJ480" s="570"/>
      <c r="AK480" s="570"/>
      <c r="AL480" s="570"/>
      <c r="AM480" s="570"/>
      <c r="AN480" s="570"/>
      <c r="AO480" s="570"/>
      <c r="AP480" s="570"/>
      <c r="AQ480" s="570"/>
      <c r="AR480" s="570"/>
      <c r="AS480" s="570"/>
      <c r="AT480" s="570"/>
      <c r="AU480" s="570"/>
    </row>
    <row r="481" spans="1:47" ht="15.75" customHeight="1">
      <c r="A481" s="575">
        <v>44414</v>
      </c>
      <c r="B481" s="576" t="s">
        <v>6523</v>
      </c>
      <c r="C481" s="405" t="s">
        <v>3793</v>
      </c>
      <c r="D481" s="561" t="s">
        <v>6343</v>
      </c>
      <c r="E481" s="573">
        <v>30000</v>
      </c>
      <c r="F481" s="561" t="s">
        <v>4733</v>
      </c>
      <c r="G481" s="561" t="s">
        <v>46</v>
      </c>
      <c r="H481" s="561" t="s">
        <v>20</v>
      </c>
      <c r="I481" s="599" t="s">
        <v>4734</v>
      </c>
      <c r="J481" s="571">
        <v>44130</v>
      </c>
      <c r="K481" s="577" t="s">
        <v>3803</v>
      </c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70"/>
      <c r="AH481" s="570"/>
      <c r="AI481" s="570"/>
      <c r="AJ481" s="570"/>
      <c r="AK481" s="570"/>
      <c r="AL481" s="570"/>
      <c r="AM481" s="570"/>
      <c r="AN481" s="570"/>
      <c r="AO481" s="570"/>
      <c r="AP481" s="570"/>
      <c r="AQ481" s="570"/>
      <c r="AR481" s="570"/>
      <c r="AS481" s="570"/>
      <c r="AT481" s="570"/>
      <c r="AU481" s="570"/>
    </row>
    <row r="482" spans="1:47" ht="15.75" customHeight="1">
      <c r="A482" s="575">
        <v>44417</v>
      </c>
      <c r="B482" s="576" t="s">
        <v>6349</v>
      </c>
      <c r="C482" s="405" t="s">
        <v>2929</v>
      </c>
      <c r="D482" s="561" t="s">
        <v>6343</v>
      </c>
      <c r="E482" s="573">
        <v>2000</v>
      </c>
      <c r="F482" s="561" t="s">
        <v>3198</v>
      </c>
      <c r="G482" s="571" t="s">
        <v>2931</v>
      </c>
      <c r="H482" s="571" t="s">
        <v>20</v>
      </c>
      <c r="I482" s="571" t="s">
        <v>2932</v>
      </c>
      <c r="J482" s="571">
        <v>43703</v>
      </c>
      <c r="K482" s="574" t="s">
        <v>4196</v>
      </c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70"/>
      <c r="AH482" s="570"/>
      <c r="AI482" s="570"/>
      <c r="AJ482" s="570"/>
      <c r="AK482" s="570"/>
      <c r="AL482" s="570"/>
      <c r="AM482" s="570"/>
      <c r="AN482" s="570"/>
      <c r="AO482" s="570"/>
      <c r="AP482" s="570"/>
      <c r="AQ482" s="570"/>
      <c r="AR482" s="570"/>
      <c r="AS482" s="570"/>
      <c r="AT482" s="570"/>
      <c r="AU482" s="570"/>
    </row>
    <row r="483" spans="1:47" ht="15.75" customHeight="1">
      <c r="A483" s="575">
        <v>44417</v>
      </c>
      <c r="B483" s="576" t="s">
        <v>6411</v>
      </c>
      <c r="C483" s="405" t="s">
        <v>2929</v>
      </c>
      <c r="D483" s="561" t="s">
        <v>6343</v>
      </c>
      <c r="E483" s="573">
        <v>15000</v>
      </c>
      <c r="F483" s="561" t="s">
        <v>3264</v>
      </c>
      <c r="G483" s="571" t="s">
        <v>19</v>
      </c>
      <c r="H483" s="571" t="s">
        <v>35</v>
      </c>
      <c r="I483" s="571" t="s">
        <v>199</v>
      </c>
      <c r="J483" s="571">
        <v>44295</v>
      </c>
      <c r="K483" s="574" t="s">
        <v>3810</v>
      </c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70"/>
      <c r="AH483" s="570"/>
      <c r="AI483" s="570"/>
      <c r="AJ483" s="570"/>
      <c r="AK483" s="570"/>
      <c r="AL483" s="570"/>
      <c r="AM483" s="570"/>
      <c r="AN483" s="570"/>
      <c r="AO483" s="570"/>
      <c r="AP483" s="570"/>
      <c r="AQ483" s="570"/>
      <c r="AR483" s="570"/>
      <c r="AS483" s="570"/>
      <c r="AT483" s="570"/>
      <c r="AU483" s="570"/>
    </row>
    <row r="484" spans="1:47" ht="15.75" customHeight="1">
      <c r="A484" s="575">
        <v>44417</v>
      </c>
      <c r="B484" s="576" t="s">
        <v>6476</v>
      </c>
      <c r="C484" s="405" t="s">
        <v>2929</v>
      </c>
      <c r="D484" s="561" t="s">
        <v>6343</v>
      </c>
      <c r="E484" s="573">
        <v>2000</v>
      </c>
      <c r="F484" s="561" t="s">
        <v>3245</v>
      </c>
      <c r="G484" s="571" t="s">
        <v>19</v>
      </c>
      <c r="H484" s="571" t="s">
        <v>35</v>
      </c>
      <c r="I484" s="571" t="s">
        <v>2979</v>
      </c>
      <c r="J484" s="571">
        <v>44266</v>
      </c>
      <c r="K484" s="574" t="s">
        <v>3813</v>
      </c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70"/>
      <c r="AH484" s="570"/>
      <c r="AI484" s="570"/>
      <c r="AJ484" s="570"/>
      <c r="AK484" s="570"/>
      <c r="AL484" s="570"/>
      <c r="AM484" s="570"/>
      <c r="AN484" s="570"/>
      <c r="AO484" s="570"/>
      <c r="AP484" s="570"/>
      <c r="AQ484" s="570"/>
      <c r="AR484" s="570"/>
      <c r="AS484" s="570"/>
      <c r="AT484" s="570"/>
      <c r="AU484" s="570"/>
    </row>
    <row r="485" spans="1:47" ht="15.75" customHeight="1">
      <c r="A485" s="575">
        <v>44417</v>
      </c>
      <c r="B485" s="576" t="s">
        <v>6524</v>
      </c>
      <c r="C485" s="405" t="s">
        <v>2929</v>
      </c>
      <c r="D485" s="561" t="s">
        <v>6343</v>
      </c>
      <c r="E485" s="573">
        <v>1000000</v>
      </c>
      <c r="F485" s="561" t="s">
        <v>425</v>
      </c>
      <c r="G485" s="571" t="s">
        <v>19</v>
      </c>
      <c r="H485" s="571" t="s">
        <v>35</v>
      </c>
      <c r="I485" s="571" t="s">
        <v>199</v>
      </c>
      <c r="J485" s="571">
        <v>44263</v>
      </c>
      <c r="K485" s="574" t="s">
        <v>3803</v>
      </c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70"/>
      <c r="AH485" s="570"/>
      <c r="AI485" s="570"/>
      <c r="AJ485" s="570"/>
      <c r="AK485" s="570"/>
      <c r="AL485" s="570"/>
      <c r="AM485" s="570"/>
      <c r="AN485" s="570"/>
      <c r="AO485" s="570"/>
      <c r="AP485" s="570"/>
      <c r="AQ485" s="570"/>
      <c r="AR485" s="570"/>
      <c r="AS485" s="570"/>
      <c r="AT485" s="570"/>
      <c r="AU485" s="570"/>
    </row>
    <row r="486" spans="1:47" ht="15.75" customHeight="1">
      <c r="A486" s="571">
        <v>44418</v>
      </c>
      <c r="B486" s="576" t="s">
        <v>6525</v>
      </c>
      <c r="C486" s="561" t="s">
        <v>3793</v>
      </c>
      <c r="D486" s="561" t="s">
        <v>956</v>
      </c>
      <c r="E486" s="573">
        <v>0</v>
      </c>
      <c r="F486" s="561" t="s">
        <v>4810</v>
      </c>
      <c r="G486" s="561" t="s">
        <v>46</v>
      </c>
      <c r="H486" s="561" t="s">
        <v>20</v>
      </c>
      <c r="I486" s="561" t="s">
        <v>4075</v>
      </c>
      <c r="J486" s="571">
        <v>44775</v>
      </c>
      <c r="K486" s="577" t="s">
        <v>3817</v>
      </c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70"/>
      <c r="AH486" s="570"/>
      <c r="AI486" s="570"/>
      <c r="AJ486" s="570"/>
      <c r="AK486" s="570"/>
      <c r="AL486" s="570"/>
      <c r="AM486" s="570"/>
      <c r="AN486" s="570"/>
      <c r="AO486" s="570"/>
      <c r="AP486" s="570"/>
      <c r="AQ486" s="570"/>
      <c r="AR486" s="570"/>
      <c r="AS486" s="570"/>
      <c r="AT486" s="570"/>
      <c r="AU486" s="570"/>
    </row>
    <row r="487" spans="1:47" ht="15.75" customHeight="1">
      <c r="A487" s="571">
        <v>44418</v>
      </c>
      <c r="B487" s="572" t="s">
        <v>6514</v>
      </c>
      <c r="C487" s="561" t="s">
        <v>2929</v>
      </c>
      <c r="D487" s="561" t="s">
        <v>956</v>
      </c>
      <c r="E487" s="573">
        <v>467689.84</v>
      </c>
      <c r="F487" s="561" t="s">
        <v>3186</v>
      </c>
      <c r="G487" s="571" t="s">
        <v>2931</v>
      </c>
      <c r="H487" s="571" t="s">
        <v>20</v>
      </c>
      <c r="I487" s="571" t="s">
        <v>2932</v>
      </c>
      <c r="J487" s="571">
        <v>43859</v>
      </c>
      <c r="K487" s="574" t="s">
        <v>3813</v>
      </c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70"/>
      <c r="AH487" s="570"/>
      <c r="AI487" s="570"/>
      <c r="AJ487" s="570"/>
      <c r="AK487" s="570"/>
      <c r="AL487" s="570"/>
      <c r="AM487" s="570"/>
      <c r="AN487" s="570"/>
      <c r="AO487" s="570"/>
      <c r="AP487" s="570"/>
      <c r="AQ487" s="570"/>
      <c r="AR487" s="570"/>
      <c r="AS487" s="570"/>
      <c r="AT487" s="570"/>
      <c r="AU487" s="570"/>
    </row>
    <row r="488" spans="1:47" ht="15.75" customHeight="1">
      <c r="A488" s="571">
        <v>44418</v>
      </c>
      <c r="B488" s="572" t="s">
        <v>6460</v>
      </c>
      <c r="C488" s="561" t="s">
        <v>3793</v>
      </c>
      <c r="D488" s="561" t="s">
        <v>956</v>
      </c>
      <c r="E488" s="573">
        <v>0</v>
      </c>
      <c r="F488" s="561" t="s">
        <v>4030</v>
      </c>
      <c r="G488" s="561" t="s">
        <v>46</v>
      </c>
      <c r="H488" s="561" t="s">
        <v>20</v>
      </c>
      <c r="I488" s="561" t="s">
        <v>3640</v>
      </c>
      <c r="J488" s="571">
        <v>44228</v>
      </c>
      <c r="K488" s="577" t="s">
        <v>3797</v>
      </c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</row>
    <row r="489" spans="1:47" ht="15.75" customHeight="1">
      <c r="A489" s="575">
        <v>44418</v>
      </c>
      <c r="B489" s="576" t="s">
        <v>6526</v>
      </c>
      <c r="C489" s="405" t="s">
        <v>3793</v>
      </c>
      <c r="D489" s="561" t="s">
        <v>6343</v>
      </c>
      <c r="E489" s="573">
        <v>387869.72</v>
      </c>
      <c r="F489" s="561" t="s">
        <v>6527</v>
      </c>
      <c r="G489" s="561" t="s">
        <v>2931</v>
      </c>
      <c r="H489" s="561" t="s">
        <v>20</v>
      </c>
      <c r="I489" s="561" t="s">
        <v>2931</v>
      </c>
      <c r="J489" s="571">
        <v>44195</v>
      </c>
      <c r="K489" s="577" t="s">
        <v>3813</v>
      </c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</row>
    <row r="490" spans="1:47" ht="15.75" customHeight="1">
      <c r="A490" s="575">
        <v>44420</v>
      </c>
      <c r="B490" s="576" t="s">
        <v>6444</v>
      </c>
      <c r="C490" s="405" t="s">
        <v>3793</v>
      </c>
      <c r="D490" s="561" t="s">
        <v>6343</v>
      </c>
      <c r="E490" s="573">
        <v>169129.47</v>
      </c>
      <c r="F490" s="561" t="s">
        <v>5095</v>
      </c>
      <c r="G490" s="561" t="s">
        <v>46</v>
      </c>
      <c r="H490" s="561" t="s">
        <v>20</v>
      </c>
      <c r="I490" s="561" t="s">
        <v>4480</v>
      </c>
      <c r="J490" s="571">
        <v>44180</v>
      </c>
      <c r="K490" s="577" t="s">
        <v>3803</v>
      </c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70"/>
      <c r="AH490" s="570"/>
      <c r="AI490" s="570"/>
      <c r="AJ490" s="570"/>
      <c r="AK490" s="570"/>
      <c r="AL490" s="570"/>
      <c r="AM490" s="570"/>
      <c r="AN490" s="570"/>
      <c r="AO490" s="570"/>
      <c r="AP490" s="570"/>
      <c r="AQ490" s="570"/>
      <c r="AR490" s="570"/>
      <c r="AS490" s="570"/>
      <c r="AT490" s="570"/>
      <c r="AU490" s="570"/>
    </row>
    <row r="491" spans="1:47" ht="15.75" customHeight="1">
      <c r="A491" s="575">
        <v>44421</v>
      </c>
      <c r="B491" s="576" t="s">
        <v>6528</v>
      </c>
      <c r="C491" s="405" t="s">
        <v>3793</v>
      </c>
      <c r="D491" s="561" t="s">
        <v>6343</v>
      </c>
      <c r="E491" s="573">
        <v>300000</v>
      </c>
      <c r="F491" s="561" t="s">
        <v>5359</v>
      </c>
      <c r="G491" s="561" t="s">
        <v>46</v>
      </c>
      <c r="H491" s="561" t="s">
        <v>20</v>
      </c>
      <c r="I491" s="561" t="s">
        <v>4459</v>
      </c>
      <c r="J491" s="571">
        <v>44397</v>
      </c>
      <c r="K491" s="577" t="s">
        <v>3813</v>
      </c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70"/>
      <c r="AH491" s="570"/>
      <c r="AI491" s="570"/>
      <c r="AJ491" s="570"/>
      <c r="AK491" s="570"/>
      <c r="AL491" s="570"/>
      <c r="AM491" s="570"/>
      <c r="AN491" s="570"/>
      <c r="AO491" s="570"/>
      <c r="AP491" s="570"/>
      <c r="AQ491" s="570"/>
      <c r="AR491" s="570"/>
      <c r="AS491" s="570"/>
      <c r="AT491" s="570"/>
      <c r="AU491" s="570"/>
    </row>
    <row r="492" spans="1:47" ht="15.75" customHeight="1">
      <c r="A492" s="575">
        <v>44421</v>
      </c>
      <c r="B492" s="576" t="s">
        <v>6351</v>
      </c>
      <c r="C492" s="405" t="s">
        <v>2929</v>
      </c>
      <c r="D492" s="561" t="s">
        <v>6343</v>
      </c>
      <c r="E492" s="573">
        <v>15000</v>
      </c>
      <c r="F492" s="561" t="s">
        <v>3235</v>
      </c>
      <c r="G492" s="571" t="s">
        <v>2931</v>
      </c>
      <c r="H492" s="571" t="s">
        <v>20</v>
      </c>
      <c r="I492" s="571" t="s">
        <v>2932</v>
      </c>
      <c r="J492" s="571">
        <v>43605</v>
      </c>
      <c r="K492" s="574" t="s">
        <v>3813</v>
      </c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70"/>
      <c r="AH492" s="570"/>
      <c r="AI492" s="570"/>
      <c r="AJ492" s="570"/>
      <c r="AK492" s="570"/>
      <c r="AL492" s="570"/>
      <c r="AM492" s="570"/>
      <c r="AN492" s="570"/>
      <c r="AO492" s="570"/>
      <c r="AP492" s="570"/>
      <c r="AQ492" s="570"/>
      <c r="AR492" s="570"/>
      <c r="AS492" s="570"/>
      <c r="AT492" s="570"/>
      <c r="AU492" s="570"/>
    </row>
    <row r="493" spans="1:47" ht="15.75" customHeight="1">
      <c r="A493" s="575">
        <v>44421</v>
      </c>
      <c r="B493" s="576" t="s">
        <v>6475</v>
      </c>
      <c r="C493" s="405" t="s">
        <v>2929</v>
      </c>
      <c r="D493" s="561" t="s">
        <v>6343</v>
      </c>
      <c r="E493" s="573">
        <v>36000</v>
      </c>
      <c r="F493" s="561" t="s">
        <v>3339</v>
      </c>
      <c r="G493" s="571" t="s">
        <v>19</v>
      </c>
      <c r="H493" s="571" t="s">
        <v>35</v>
      </c>
      <c r="I493" s="571" t="s">
        <v>250</v>
      </c>
      <c r="J493" s="571">
        <v>44322</v>
      </c>
      <c r="K493" s="574" t="s">
        <v>3803</v>
      </c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70"/>
      <c r="AH493" s="570"/>
      <c r="AI493" s="570"/>
      <c r="AJ493" s="570"/>
      <c r="AK493" s="570"/>
      <c r="AL493" s="570"/>
      <c r="AM493" s="570"/>
      <c r="AN493" s="570"/>
      <c r="AO493" s="570"/>
      <c r="AP493" s="570"/>
      <c r="AQ493" s="570"/>
      <c r="AR493" s="570"/>
      <c r="AS493" s="570"/>
      <c r="AT493" s="570"/>
      <c r="AU493" s="570"/>
    </row>
    <row r="494" spans="1:47" ht="15.75" customHeight="1">
      <c r="A494" s="571">
        <v>44424</v>
      </c>
      <c r="B494" s="572" t="s">
        <v>6529</v>
      </c>
      <c r="C494" s="561" t="s">
        <v>3793</v>
      </c>
      <c r="D494" s="561" t="s">
        <v>956</v>
      </c>
      <c r="E494" s="573">
        <v>0</v>
      </c>
      <c r="F494" s="561" t="s">
        <v>5137</v>
      </c>
      <c r="G494" s="561" t="s">
        <v>46</v>
      </c>
      <c r="H494" s="561" t="s">
        <v>20</v>
      </c>
      <c r="I494" s="561" t="s">
        <v>3981</v>
      </c>
      <c r="J494" s="571">
        <v>44078</v>
      </c>
      <c r="K494" s="577" t="s">
        <v>3797</v>
      </c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70"/>
      <c r="AH494" s="570"/>
      <c r="AI494" s="570"/>
      <c r="AJ494" s="570"/>
      <c r="AK494" s="570"/>
      <c r="AL494" s="570"/>
      <c r="AM494" s="570"/>
      <c r="AN494" s="570"/>
      <c r="AO494" s="570"/>
      <c r="AP494" s="570"/>
      <c r="AQ494" s="570"/>
      <c r="AR494" s="570"/>
      <c r="AS494" s="570"/>
      <c r="AT494" s="570"/>
      <c r="AU494" s="570"/>
    </row>
    <row r="495" spans="1:47" ht="15.75" customHeight="1">
      <c r="A495" s="575">
        <v>44424</v>
      </c>
      <c r="B495" s="576" t="s">
        <v>6365</v>
      </c>
      <c r="C495" s="405" t="s">
        <v>2929</v>
      </c>
      <c r="D495" s="561" t="s">
        <v>6343</v>
      </c>
      <c r="E495" s="573">
        <v>29127.62</v>
      </c>
      <c r="F495" s="561" t="s">
        <v>3452</v>
      </c>
      <c r="G495" s="571" t="s">
        <v>2931</v>
      </c>
      <c r="H495" s="571" t="s">
        <v>20</v>
      </c>
      <c r="I495" s="571" t="s">
        <v>2932</v>
      </c>
      <c r="J495" s="571">
        <v>43894</v>
      </c>
      <c r="K495" s="574" t="s">
        <v>3813</v>
      </c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70"/>
      <c r="AH495" s="570"/>
      <c r="AI495" s="570"/>
      <c r="AJ495" s="570"/>
      <c r="AK495" s="570"/>
      <c r="AL495" s="570"/>
      <c r="AM495" s="570"/>
      <c r="AN495" s="570"/>
      <c r="AO495" s="570"/>
      <c r="AP495" s="570"/>
      <c r="AQ495" s="570"/>
      <c r="AR495" s="570"/>
      <c r="AS495" s="570"/>
      <c r="AT495" s="570"/>
      <c r="AU495" s="570"/>
    </row>
    <row r="496" spans="1:47" ht="15.75" customHeight="1">
      <c r="A496" s="575">
        <v>44424</v>
      </c>
      <c r="B496" s="576" t="s">
        <v>6530</v>
      </c>
      <c r="C496" s="405" t="s">
        <v>2929</v>
      </c>
      <c r="D496" s="561" t="s">
        <v>6343</v>
      </c>
      <c r="E496" s="573">
        <v>4000</v>
      </c>
      <c r="F496" s="561" t="s">
        <v>3139</v>
      </c>
      <c r="G496" s="571" t="s">
        <v>19</v>
      </c>
      <c r="H496" s="571" t="s">
        <v>35</v>
      </c>
      <c r="I496" s="571" t="s">
        <v>250</v>
      </c>
      <c r="J496" s="571">
        <v>44291</v>
      </c>
      <c r="K496" s="574" t="s">
        <v>3803</v>
      </c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70"/>
      <c r="AH496" s="570"/>
      <c r="AI496" s="570"/>
      <c r="AJ496" s="570"/>
      <c r="AK496" s="570"/>
      <c r="AL496" s="570"/>
      <c r="AM496" s="570"/>
      <c r="AN496" s="570"/>
      <c r="AO496" s="570"/>
      <c r="AP496" s="570"/>
      <c r="AQ496" s="570"/>
      <c r="AR496" s="570"/>
      <c r="AS496" s="570"/>
      <c r="AT496" s="570"/>
      <c r="AU496" s="570"/>
    </row>
    <row r="497" spans="1:47" ht="15.75" customHeight="1">
      <c r="A497" s="575">
        <v>44424</v>
      </c>
      <c r="B497" s="576" t="s">
        <v>6528</v>
      </c>
      <c r="C497" s="405" t="s">
        <v>3793</v>
      </c>
      <c r="D497" s="561" t="s">
        <v>921</v>
      </c>
      <c r="E497" s="573">
        <v>83704.06</v>
      </c>
      <c r="F497" s="561" t="s">
        <v>6531</v>
      </c>
      <c r="G497" s="561" t="s">
        <v>46</v>
      </c>
      <c r="H497" s="561" t="s">
        <v>20</v>
      </c>
      <c r="I497" s="561" t="s">
        <v>4459</v>
      </c>
      <c r="J497" s="571">
        <v>44397</v>
      </c>
      <c r="K497" s="577" t="s">
        <v>3813</v>
      </c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70"/>
      <c r="AH497" s="570"/>
      <c r="AI497" s="570"/>
      <c r="AJ497" s="570"/>
      <c r="AK497" s="570"/>
      <c r="AL497" s="570"/>
      <c r="AM497" s="570"/>
      <c r="AN497" s="570"/>
      <c r="AO497" s="570"/>
      <c r="AP497" s="570"/>
      <c r="AQ497" s="570"/>
      <c r="AR497" s="570"/>
      <c r="AS497" s="570"/>
      <c r="AT497" s="570"/>
      <c r="AU497" s="570"/>
    </row>
    <row r="498" spans="1:47" ht="15.75" customHeight="1">
      <c r="A498" s="575">
        <v>44424</v>
      </c>
      <c r="B498" s="576" t="s">
        <v>6532</v>
      </c>
      <c r="C498" s="405" t="s">
        <v>3793</v>
      </c>
      <c r="D498" s="561" t="s">
        <v>921</v>
      </c>
      <c r="E498" s="573">
        <v>5000</v>
      </c>
      <c r="F498" s="561" t="s">
        <v>4174</v>
      </c>
      <c r="G498" s="561" t="s">
        <v>19</v>
      </c>
      <c r="H498" s="561" t="s">
        <v>20</v>
      </c>
      <c r="I498" s="561" t="s">
        <v>4175</v>
      </c>
      <c r="J498" s="571">
        <v>44305</v>
      </c>
      <c r="K498" s="577" t="s">
        <v>3817</v>
      </c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70"/>
      <c r="AH498" s="570"/>
      <c r="AI498" s="570"/>
      <c r="AJ498" s="570"/>
      <c r="AK498" s="570"/>
      <c r="AL498" s="570"/>
      <c r="AM498" s="570"/>
      <c r="AN498" s="570"/>
      <c r="AO498" s="570"/>
      <c r="AP498" s="570"/>
      <c r="AQ498" s="570"/>
      <c r="AR498" s="570"/>
      <c r="AS498" s="570"/>
      <c r="AT498" s="570"/>
      <c r="AU498" s="570"/>
    </row>
    <row r="499" spans="1:47" ht="15.75" customHeight="1">
      <c r="A499" s="571">
        <v>44425</v>
      </c>
      <c r="B499" s="572" t="s">
        <v>6533</v>
      </c>
      <c r="C499" s="561" t="s">
        <v>2929</v>
      </c>
      <c r="D499" s="561" t="s">
        <v>956</v>
      </c>
      <c r="E499" s="573">
        <v>110571.37</v>
      </c>
      <c r="F499" s="561" t="s">
        <v>3490</v>
      </c>
      <c r="G499" s="571" t="s">
        <v>2997</v>
      </c>
      <c r="H499" s="571" t="s">
        <v>20</v>
      </c>
      <c r="I499" s="571" t="s">
        <v>2997</v>
      </c>
      <c r="J499" s="571">
        <v>43990</v>
      </c>
      <c r="K499" s="574" t="s">
        <v>3817</v>
      </c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70"/>
      <c r="AH499" s="570"/>
      <c r="AI499" s="570"/>
      <c r="AJ499" s="570"/>
      <c r="AK499" s="570"/>
      <c r="AL499" s="570"/>
      <c r="AM499" s="570"/>
      <c r="AN499" s="570"/>
      <c r="AO499" s="570"/>
      <c r="AP499" s="570"/>
      <c r="AQ499" s="570"/>
      <c r="AR499" s="570"/>
      <c r="AS499" s="570"/>
      <c r="AT499" s="570"/>
      <c r="AU499" s="570"/>
    </row>
    <row r="500" spans="1:47" ht="15.75" customHeight="1">
      <c r="A500" s="571">
        <v>44425</v>
      </c>
      <c r="B500" s="572" t="s">
        <v>6534</v>
      </c>
      <c r="C500" s="561" t="s">
        <v>3793</v>
      </c>
      <c r="D500" s="561" t="s">
        <v>956</v>
      </c>
      <c r="E500" s="573">
        <v>0</v>
      </c>
      <c r="F500" s="561" t="s">
        <v>5158</v>
      </c>
      <c r="G500" s="561" t="s">
        <v>19</v>
      </c>
      <c r="H500" s="561" t="s">
        <v>20</v>
      </c>
      <c r="I500" s="561" t="s">
        <v>3801</v>
      </c>
      <c r="J500" s="571">
        <v>44148</v>
      </c>
      <c r="K500" s="577" t="s">
        <v>3803</v>
      </c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70"/>
      <c r="AH500" s="570"/>
      <c r="AI500" s="570"/>
      <c r="AJ500" s="570"/>
      <c r="AK500" s="570"/>
      <c r="AL500" s="570"/>
      <c r="AM500" s="570"/>
      <c r="AN500" s="570"/>
      <c r="AO500" s="570"/>
      <c r="AP500" s="570"/>
      <c r="AQ500" s="570"/>
      <c r="AR500" s="570"/>
      <c r="AS500" s="570"/>
      <c r="AT500" s="570"/>
      <c r="AU500" s="570"/>
    </row>
    <row r="501" spans="1:47" ht="15.75" customHeight="1">
      <c r="A501" s="575">
        <v>44425</v>
      </c>
      <c r="B501" s="576" t="s">
        <v>6506</v>
      </c>
      <c r="C501" s="405" t="s">
        <v>2929</v>
      </c>
      <c r="D501" s="561" t="s">
        <v>6343</v>
      </c>
      <c r="E501" s="573">
        <v>3000</v>
      </c>
      <c r="F501" s="561" t="s">
        <v>2941</v>
      </c>
      <c r="G501" s="571" t="s">
        <v>19</v>
      </c>
      <c r="H501" s="571" t="s">
        <v>35</v>
      </c>
      <c r="I501" s="571" t="s">
        <v>250</v>
      </c>
      <c r="J501" s="571">
        <v>44321</v>
      </c>
      <c r="K501" s="574" t="s">
        <v>3813</v>
      </c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70"/>
      <c r="AH501" s="570"/>
      <c r="AI501" s="570"/>
      <c r="AJ501" s="570"/>
      <c r="AK501" s="570"/>
      <c r="AL501" s="570"/>
      <c r="AM501" s="570"/>
      <c r="AN501" s="570"/>
      <c r="AO501" s="570"/>
      <c r="AP501" s="570"/>
      <c r="AQ501" s="570"/>
      <c r="AR501" s="570"/>
      <c r="AS501" s="570"/>
      <c r="AT501" s="570"/>
      <c r="AU501" s="570"/>
    </row>
    <row r="502" spans="1:47" ht="15.75" customHeight="1">
      <c r="A502" s="575">
        <v>44426</v>
      </c>
      <c r="B502" s="576" t="s">
        <v>6475</v>
      </c>
      <c r="C502" s="405" t="s">
        <v>2929</v>
      </c>
      <c r="D502" s="561" t="s">
        <v>6343</v>
      </c>
      <c r="E502" s="573">
        <v>9000</v>
      </c>
      <c r="F502" s="561" t="s">
        <v>3339</v>
      </c>
      <c r="G502" s="571" t="s">
        <v>19</v>
      </c>
      <c r="H502" s="571" t="s">
        <v>35</v>
      </c>
      <c r="I502" s="571" t="s">
        <v>250</v>
      </c>
      <c r="J502" s="571">
        <v>44322</v>
      </c>
      <c r="K502" s="574" t="s">
        <v>3803</v>
      </c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70"/>
      <c r="AH502" s="570"/>
      <c r="AI502" s="570"/>
      <c r="AJ502" s="570"/>
      <c r="AK502" s="570"/>
      <c r="AL502" s="570"/>
      <c r="AM502" s="570"/>
      <c r="AN502" s="570"/>
      <c r="AO502" s="570"/>
      <c r="AP502" s="570"/>
      <c r="AQ502" s="570"/>
      <c r="AR502" s="570"/>
      <c r="AS502" s="570"/>
      <c r="AT502" s="570"/>
      <c r="AU502" s="570"/>
    </row>
    <row r="503" spans="1:47" ht="15.75" customHeight="1">
      <c r="A503" s="575">
        <v>44426</v>
      </c>
      <c r="B503" s="576" t="s">
        <v>6535</v>
      </c>
      <c r="C503" s="405" t="s">
        <v>3793</v>
      </c>
      <c r="D503" s="561" t="s">
        <v>6343</v>
      </c>
      <c r="E503" s="573">
        <v>10000</v>
      </c>
      <c r="F503" s="561" t="s">
        <v>5114</v>
      </c>
      <c r="G503" s="561" t="s">
        <v>19</v>
      </c>
      <c r="H503" s="561" t="s">
        <v>20</v>
      </c>
      <c r="I503" s="561" t="s">
        <v>3801</v>
      </c>
      <c r="J503" s="571">
        <v>44133</v>
      </c>
      <c r="K503" s="577" t="s">
        <v>3813</v>
      </c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70"/>
      <c r="AH503" s="570"/>
      <c r="AI503" s="570"/>
      <c r="AJ503" s="570"/>
      <c r="AK503" s="570"/>
      <c r="AL503" s="570"/>
      <c r="AM503" s="570"/>
      <c r="AN503" s="570"/>
      <c r="AO503" s="570"/>
      <c r="AP503" s="570"/>
      <c r="AQ503" s="570"/>
      <c r="AR503" s="570"/>
      <c r="AS503" s="570"/>
      <c r="AT503" s="570"/>
      <c r="AU503" s="570"/>
    </row>
    <row r="504" spans="1:47" ht="15.75" customHeight="1">
      <c r="A504" s="575">
        <v>44427</v>
      </c>
      <c r="B504" s="576" t="s">
        <v>6536</v>
      </c>
      <c r="C504" s="405" t="s">
        <v>3793</v>
      </c>
      <c r="D504" s="561" t="s">
        <v>921</v>
      </c>
      <c r="E504" s="573">
        <v>117509.41</v>
      </c>
      <c r="F504" s="561" t="s">
        <v>4184</v>
      </c>
      <c r="G504" s="561" t="s">
        <v>2931</v>
      </c>
      <c r="H504" s="561" t="s">
        <v>20</v>
      </c>
      <c r="I504" s="561" t="s">
        <v>2931</v>
      </c>
      <c r="J504" s="571">
        <v>44368</v>
      </c>
      <c r="K504" s="577" t="s">
        <v>3803</v>
      </c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70"/>
      <c r="AH504" s="570"/>
      <c r="AI504" s="570"/>
      <c r="AJ504" s="570"/>
      <c r="AK504" s="570"/>
      <c r="AL504" s="570"/>
      <c r="AM504" s="570"/>
      <c r="AN504" s="570"/>
      <c r="AO504" s="570"/>
      <c r="AP504" s="570"/>
      <c r="AQ504" s="570"/>
      <c r="AR504" s="570"/>
      <c r="AS504" s="570"/>
      <c r="AT504" s="570"/>
      <c r="AU504" s="570"/>
    </row>
    <row r="505" spans="1:47" ht="15.75" customHeight="1">
      <c r="A505" s="571">
        <v>44428</v>
      </c>
      <c r="B505" s="572" t="s">
        <v>6537</v>
      </c>
      <c r="C505" s="561" t="s">
        <v>3793</v>
      </c>
      <c r="D505" s="561" t="s">
        <v>956</v>
      </c>
      <c r="E505" s="573">
        <v>0</v>
      </c>
      <c r="F505" s="561" t="s">
        <v>4972</v>
      </c>
      <c r="G505" s="561" t="s">
        <v>19</v>
      </c>
      <c r="H505" s="561" t="s">
        <v>20</v>
      </c>
      <c r="I505" s="561" t="s">
        <v>3801</v>
      </c>
      <c r="J505" s="571">
        <v>44196</v>
      </c>
      <c r="K505" s="577" t="s">
        <v>3810</v>
      </c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70"/>
      <c r="AH505" s="570"/>
      <c r="AI505" s="570"/>
      <c r="AJ505" s="570"/>
      <c r="AK505" s="570"/>
      <c r="AL505" s="570"/>
      <c r="AM505" s="570"/>
      <c r="AN505" s="570"/>
      <c r="AO505" s="570"/>
      <c r="AP505" s="570"/>
      <c r="AQ505" s="570"/>
      <c r="AR505" s="570"/>
      <c r="AS505" s="570"/>
      <c r="AT505" s="570"/>
      <c r="AU505" s="570"/>
    </row>
    <row r="506" spans="1:47" ht="15.75" customHeight="1">
      <c r="A506" s="575">
        <v>44428</v>
      </c>
      <c r="B506" s="576" t="s">
        <v>6349</v>
      </c>
      <c r="C506" s="405" t="s">
        <v>2929</v>
      </c>
      <c r="D506" s="561" t="s">
        <v>6343</v>
      </c>
      <c r="E506" s="573">
        <v>70000</v>
      </c>
      <c r="F506" s="561" t="s">
        <v>3198</v>
      </c>
      <c r="G506" s="571" t="s">
        <v>2931</v>
      </c>
      <c r="H506" s="571" t="s">
        <v>20</v>
      </c>
      <c r="I506" s="571" t="s">
        <v>2932</v>
      </c>
      <c r="J506" s="571">
        <v>43703</v>
      </c>
      <c r="K506" s="574" t="s">
        <v>4196</v>
      </c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70"/>
      <c r="AH506" s="570"/>
      <c r="AI506" s="570"/>
      <c r="AJ506" s="570"/>
      <c r="AK506" s="570"/>
      <c r="AL506" s="570"/>
      <c r="AM506" s="570"/>
      <c r="AN506" s="570"/>
      <c r="AO506" s="570"/>
      <c r="AP506" s="570"/>
      <c r="AQ506" s="570"/>
      <c r="AR506" s="570"/>
      <c r="AS506" s="570"/>
      <c r="AT506" s="570"/>
      <c r="AU506" s="570"/>
    </row>
    <row r="507" spans="1:47" ht="15.75" customHeight="1">
      <c r="A507" s="575">
        <v>44428</v>
      </c>
      <c r="B507" s="576" t="s">
        <v>6472</v>
      </c>
      <c r="C507" s="405" t="s">
        <v>3793</v>
      </c>
      <c r="D507" s="561" t="s">
        <v>921</v>
      </c>
      <c r="E507" s="573">
        <v>56000</v>
      </c>
      <c r="F507" s="561" t="s">
        <v>5271</v>
      </c>
      <c r="G507" s="561" t="s">
        <v>19</v>
      </c>
      <c r="H507" s="561" t="s">
        <v>66</v>
      </c>
      <c r="I507" s="561" t="s">
        <v>316</v>
      </c>
      <c r="J507" s="571">
        <v>44291</v>
      </c>
      <c r="K507" s="577" t="s">
        <v>3817</v>
      </c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70"/>
      <c r="AH507" s="570"/>
      <c r="AI507" s="570"/>
      <c r="AJ507" s="570"/>
      <c r="AK507" s="570"/>
      <c r="AL507" s="570"/>
      <c r="AM507" s="570"/>
      <c r="AN507" s="570"/>
      <c r="AO507" s="570"/>
      <c r="AP507" s="570"/>
      <c r="AQ507" s="570"/>
      <c r="AR507" s="570"/>
      <c r="AS507" s="570"/>
      <c r="AT507" s="570"/>
      <c r="AU507" s="570"/>
    </row>
    <row r="508" spans="1:47" ht="15.75" customHeight="1">
      <c r="A508" s="575">
        <v>44431</v>
      </c>
      <c r="B508" s="576" t="s">
        <v>6538</v>
      </c>
      <c r="C508" s="405" t="s">
        <v>2929</v>
      </c>
      <c r="D508" s="561" t="s">
        <v>6343</v>
      </c>
      <c r="E508" s="573">
        <v>86000</v>
      </c>
      <c r="F508" s="561" t="s">
        <v>3561</v>
      </c>
      <c r="G508" s="571" t="s">
        <v>19</v>
      </c>
      <c r="H508" s="571" t="s">
        <v>35</v>
      </c>
      <c r="I508" s="571" t="s">
        <v>2979</v>
      </c>
      <c r="J508" s="571">
        <v>44267</v>
      </c>
      <c r="K508" s="574" t="s">
        <v>3803</v>
      </c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70"/>
      <c r="AH508" s="570"/>
      <c r="AI508" s="570"/>
      <c r="AJ508" s="570"/>
      <c r="AK508" s="570"/>
      <c r="AL508" s="570"/>
      <c r="AM508" s="570"/>
      <c r="AN508" s="570"/>
      <c r="AO508" s="570"/>
      <c r="AP508" s="570"/>
      <c r="AQ508" s="570"/>
      <c r="AR508" s="570"/>
      <c r="AS508" s="570"/>
      <c r="AT508" s="570"/>
      <c r="AU508" s="570"/>
    </row>
    <row r="509" spans="1:47" ht="15.75" customHeight="1">
      <c r="A509" s="575">
        <v>44431</v>
      </c>
      <c r="B509" s="576" t="s">
        <v>6365</v>
      </c>
      <c r="C509" s="405" t="s">
        <v>2929</v>
      </c>
      <c r="D509" s="561" t="s">
        <v>6343</v>
      </c>
      <c r="E509" s="573">
        <v>1000</v>
      </c>
      <c r="F509" s="561" t="s">
        <v>3452</v>
      </c>
      <c r="G509" s="571" t="s">
        <v>2931</v>
      </c>
      <c r="H509" s="571" t="s">
        <v>20</v>
      </c>
      <c r="I509" s="571" t="s">
        <v>2932</v>
      </c>
      <c r="J509" s="571">
        <v>43894</v>
      </c>
      <c r="K509" s="574" t="s">
        <v>3813</v>
      </c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70"/>
      <c r="AH509" s="570"/>
      <c r="AI509" s="570"/>
      <c r="AJ509" s="570"/>
      <c r="AK509" s="570"/>
      <c r="AL509" s="570"/>
      <c r="AM509" s="570"/>
      <c r="AN509" s="570"/>
      <c r="AO509" s="570"/>
      <c r="AP509" s="570"/>
      <c r="AQ509" s="570"/>
      <c r="AR509" s="570"/>
      <c r="AS509" s="570"/>
      <c r="AT509" s="570"/>
      <c r="AU509" s="570"/>
    </row>
    <row r="510" spans="1:47" ht="15.75" customHeight="1">
      <c r="A510" s="575">
        <v>44431</v>
      </c>
      <c r="B510" s="576" t="s">
        <v>6421</v>
      </c>
      <c r="C510" s="405" t="s">
        <v>3793</v>
      </c>
      <c r="D510" s="561" t="s">
        <v>6343</v>
      </c>
      <c r="E510" s="573">
        <v>10000</v>
      </c>
      <c r="F510" s="561" t="s">
        <v>4149</v>
      </c>
      <c r="G510" s="561" t="s">
        <v>19</v>
      </c>
      <c r="H510" s="561" t="s">
        <v>20</v>
      </c>
      <c r="I510" s="561" t="s">
        <v>4150</v>
      </c>
      <c r="J510" s="571">
        <v>44089</v>
      </c>
      <c r="K510" s="577" t="s">
        <v>3810</v>
      </c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70"/>
      <c r="AH510" s="570"/>
      <c r="AI510" s="570"/>
      <c r="AJ510" s="570"/>
      <c r="AK510" s="570"/>
      <c r="AL510" s="570"/>
      <c r="AM510" s="570"/>
      <c r="AN510" s="570"/>
      <c r="AO510" s="570"/>
      <c r="AP510" s="570"/>
      <c r="AQ510" s="570"/>
      <c r="AR510" s="570"/>
      <c r="AS510" s="570"/>
      <c r="AT510" s="570"/>
      <c r="AU510" s="570"/>
    </row>
    <row r="511" spans="1:47" ht="15.75" customHeight="1">
      <c r="A511" s="575">
        <v>44432</v>
      </c>
      <c r="B511" s="576" t="s">
        <v>6477</v>
      </c>
      <c r="C511" s="405" t="s">
        <v>2929</v>
      </c>
      <c r="D511" s="561" t="s">
        <v>6343</v>
      </c>
      <c r="E511" s="573">
        <v>15000</v>
      </c>
      <c r="F511" s="561" t="s">
        <v>3472</v>
      </c>
      <c r="G511" s="571" t="s">
        <v>19</v>
      </c>
      <c r="H511" s="571" t="s">
        <v>35</v>
      </c>
      <c r="I511" s="571" t="s">
        <v>250</v>
      </c>
      <c r="J511" s="571">
        <v>44319</v>
      </c>
      <c r="K511" s="574" t="s">
        <v>3803</v>
      </c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70"/>
      <c r="AH511" s="570"/>
      <c r="AI511" s="570"/>
      <c r="AJ511" s="570"/>
      <c r="AK511" s="570"/>
      <c r="AL511" s="570"/>
      <c r="AM511" s="570"/>
      <c r="AN511" s="570"/>
      <c r="AO511" s="570"/>
      <c r="AP511" s="570"/>
      <c r="AQ511" s="570"/>
      <c r="AR511" s="570"/>
      <c r="AS511" s="570"/>
      <c r="AT511" s="570"/>
      <c r="AU511" s="570"/>
    </row>
    <row r="512" spans="1:47" ht="15.75" customHeight="1">
      <c r="A512" s="575">
        <v>44432</v>
      </c>
      <c r="B512" s="576" t="s">
        <v>6539</v>
      </c>
      <c r="C512" s="405" t="s">
        <v>2929</v>
      </c>
      <c r="D512" s="561" t="s">
        <v>921</v>
      </c>
      <c r="E512" s="573">
        <v>50000</v>
      </c>
      <c r="F512" s="561" t="s">
        <v>3458</v>
      </c>
      <c r="G512" s="571" t="s">
        <v>19</v>
      </c>
      <c r="H512" s="571" t="s">
        <v>35</v>
      </c>
      <c r="I512" s="571" t="s">
        <v>250</v>
      </c>
      <c r="J512" s="571">
        <v>44279</v>
      </c>
      <c r="K512" s="574" t="s">
        <v>3803</v>
      </c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70"/>
      <c r="AH512" s="570"/>
      <c r="AI512" s="570"/>
      <c r="AJ512" s="570"/>
      <c r="AK512" s="570"/>
      <c r="AL512" s="570"/>
      <c r="AM512" s="570"/>
      <c r="AN512" s="570"/>
      <c r="AO512" s="570"/>
      <c r="AP512" s="570"/>
      <c r="AQ512" s="570"/>
      <c r="AR512" s="570"/>
      <c r="AS512" s="570"/>
      <c r="AT512" s="570"/>
      <c r="AU512" s="570"/>
    </row>
    <row r="513" spans="1:47" ht="15.75" customHeight="1">
      <c r="A513" s="575">
        <v>44432</v>
      </c>
      <c r="B513" s="576" t="s">
        <v>6480</v>
      </c>
      <c r="C513" s="405" t="s">
        <v>2929</v>
      </c>
      <c r="D513" s="561" t="s">
        <v>6343</v>
      </c>
      <c r="E513" s="573">
        <v>150000</v>
      </c>
      <c r="F513" s="561" t="s">
        <v>3088</v>
      </c>
      <c r="G513" s="571" t="s">
        <v>19</v>
      </c>
      <c r="H513" s="571" t="s">
        <v>35</v>
      </c>
      <c r="I513" s="571" t="s">
        <v>199</v>
      </c>
      <c r="J513" s="571">
        <v>44328</v>
      </c>
      <c r="K513" s="574" t="s">
        <v>3803</v>
      </c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70"/>
      <c r="AH513" s="570"/>
      <c r="AI513" s="570"/>
      <c r="AJ513" s="570"/>
      <c r="AK513" s="570"/>
      <c r="AL513" s="570"/>
      <c r="AM513" s="570"/>
      <c r="AN513" s="570"/>
      <c r="AO513" s="570"/>
      <c r="AP513" s="570"/>
      <c r="AQ513" s="570"/>
      <c r="AR513" s="570"/>
      <c r="AS513" s="570"/>
      <c r="AT513" s="570"/>
      <c r="AU513" s="570"/>
    </row>
    <row r="514" spans="1:47" ht="15.75" customHeight="1">
      <c r="A514" s="575">
        <v>44432</v>
      </c>
      <c r="B514" s="576" t="s">
        <v>6423</v>
      </c>
      <c r="C514" s="405" t="s">
        <v>3793</v>
      </c>
      <c r="D514" s="561" t="s">
        <v>6343</v>
      </c>
      <c r="E514" s="573">
        <v>130000</v>
      </c>
      <c r="F514" s="561" t="s">
        <v>3865</v>
      </c>
      <c r="G514" s="561" t="s">
        <v>2931</v>
      </c>
      <c r="H514" s="561" t="s">
        <v>20</v>
      </c>
      <c r="I514" s="561" t="s">
        <v>2931</v>
      </c>
      <c r="J514" s="571">
        <v>44180</v>
      </c>
      <c r="K514" s="577" t="s">
        <v>3803</v>
      </c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70"/>
      <c r="AH514" s="570"/>
      <c r="AI514" s="570"/>
      <c r="AJ514" s="570"/>
      <c r="AK514" s="570"/>
      <c r="AL514" s="570"/>
      <c r="AM514" s="570"/>
      <c r="AN514" s="570"/>
      <c r="AO514" s="570"/>
      <c r="AP514" s="570"/>
      <c r="AQ514" s="570"/>
      <c r="AR514" s="570"/>
      <c r="AS514" s="570"/>
      <c r="AT514" s="570"/>
      <c r="AU514" s="570"/>
    </row>
    <row r="515" spans="1:47" ht="15.75" customHeight="1">
      <c r="A515" s="575">
        <v>44433</v>
      </c>
      <c r="B515" s="576" t="s">
        <v>6423</v>
      </c>
      <c r="C515" s="405" t="s">
        <v>3793</v>
      </c>
      <c r="D515" s="561" t="s">
        <v>6343</v>
      </c>
      <c r="E515" s="573">
        <v>43000</v>
      </c>
      <c r="F515" s="561" t="s">
        <v>3865</v>
      </c>
      <c r="G515" s="561" t="s">
        <v>2931</v>
      </c>
      <c r="H515" s="561" t="s">
        <v>20</v>
      </c>
      <c r="I515" s="561" t="s">
        <v>2931</v>
      </c>
      <c r="J515" s="571">
        <v>44180</v>
      </c>
      <c r="K515" s="577" t="s">
        <v>3803</v>
      </c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70"/>
      <c r="AH515" s="570"/>
      <c r="AI515" s="570"/>
      <c r="AJ515" s="570"/>
      <c r="AK515" s="570"/>
      <c r="AL515" s="570"/>
      <c r="AM515" s="570"/>
      <c r="AN515" s="570"/>
      <c r="AO515" s="570"/>
      <c r="AP515" s="570"/>
      <c r="AQ515" s="570"/>
      <c r="AR515" s="570"/>
      <c r="AS515" s="570"/>
      <c r="AT515" s="570"/>
      <c r="AU515" s="570"/>
    </row>
    <row r="516" spans="1:47" ht="15.75" customHeight="1">
      <c r="A516" s="575">
        <v>44433</v>
      </c>
      <c r="B516" s="576" t="s">
        <v>6365</v>
      </c>
      <c r="C516" s="405" t="s">
        <v>2929</v>
      </c>
      <c r="D516" s="561" t="s">
        <v>6343</v>
      </c>
      <c r="E516" s="573">
        <v>40000</v>
      </c>
      <c r="F516" s="561" t="s">
        <v>3452</v>
      </c>
      <c r="G516" s="571" t="s">
        <v>2931</v>
      </c>
      <c r="H516" s="571" t="s">
        <v>20</v>
      </c>
      <c r="I516" s="571" t="s">
        <v>2932</v>
      </c>
      <c r="J516" s="571">
        <v>43894</v>
      </c>
      <c r="K516" s="574" t="s">
        <v>3813</v>
      </c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70"/>
      <c r="AH516" s="570"/>
      <c r="AI516" s="570"/>
      <c r="AJ516" s="570"/>
      <c r="AK516" s="570"/>
      <c r="AL516" s="570"/>
      <c r="AM516" s="570"/>
      <c r="AN516" s="570"/>
      <c r="AO516" s="570"/>
      <c r="AP516" s="570"/>
      <c r="AQ516" s="570"/>
      <c r="AR516" s="570"/>
      <c r="AS516" s="570"/>
      <c r="AT516" s="570"/>
      <c r="AU516" s="570"/>
    </row>
    <row r="517" spans="1:47" ht="15.75" customHeight="1">
      <c r="A517" s="575">
        <v>44433</v>
      </c>
      <c r="B517" s="576" t="s">
        <v>6351</v>
      </c>
      <c r="C517" s="405" t="s">
        <v>2929</v>
      </c>
      <c r="D517" s="561" t="s">
        <v>6343</v>
      </c>
      <c r="E517" s="573">
        <v>75000</v>
      </c>
      <c r="F517" s="561" t="s">
        <v>3235</v>
      </c>
      <c r="G517" s="571" t="s">
        <v>2931</v>
      </c>
      <c r="H517" s="571" t="s">
        <v>20</v>
      </c>
      <c r="I517" s="571" t="s">
        <v>2932</v>
      </c>
      <c r="J517" s="571">
        <v>43605</v>
      </c>
      <c r="K517" s="574" t="s">
        <v>3813</v>
      </c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70"/>
      <c r="AH517" s="570"/>
      <c r="AI517" s="570"/>
      <c r="AJ517" s="570"/>
      <c r="AK517" s="570"/>
      <c r="AL517" s="570"/>
      <c r="AM517" s="570"/>
      <c r="AN517" s="570"/>
      <c r="AO517" s="570"/>
      <c r="AP517" s="570"/>
      <c r="AQ517" s="570"/>
      <c r="AR517" s="570"/>
      <c r="AS517" s="570"/>
      <c r="AT517" s="570"/>
      <c r="AU517" s="570"/>
    </row>
    <row r="518" spans="1:47" ht="15.75" customHeight="1">
      <c r="A518" s="575">
        <v>44434</v>
      </c>
      <c r="B518" s="576" t="s">
        <v>6444</v>
      </c>
      <c r="C518" s="405" t="s">
        <v>3793</v>
      </c>
      <c r="D518" s="561" t="s">
        <v>6343</v>
      </c>
      <c r="E518" s="573">
        <v>3000</v>
      </c>
      <c r="F518" s="561" t="s">
        <v>5095</v>
      </c>
      <c r="G518" s="561" t="s">
        <v>46</v>
      </c>
      <c r="H518" s="561" t="s">
        <v>20</v>
      </c>
      <c r="I518" s="561" t="s">
        <v>4480</v>
      </c>
      <c r="J518" s="571">
        <v>44180</v>
      </c>
      <c r="K518" s="577" t="s">
        <v>3803</v>
      </c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70"/>
      <c r="AH518" s="570"/>
      <c r="AI518" s="570"/>
      <c r="AJ518" s="570"/>
      <c r="AK518" s="570"/>
      <c r="AL518" s="570"/>
      <c r="AM518" s="570"/>
      <c r="AN518" s="570"/>
      <c r="AO518" s="570"/>
      <c r="AP518" s="570"/>
      <c r="AQ518" s="570"/>
      <c r="AR518" s="570"/>
      <c r="AS518" s="570"/>
      <c r="AT518" s="570"/>
      <c r="AU518" s="570"/>
    </row>
    <row r="519" spans="1:47" ht="15.75" customHeight="1">
      <c r="A519" s="575">
        <v>44434</v>
      </c>
      <c r="B519" s="576" t="s">
        <v>6475</v>
      </c>
      <c r="C519" s="405" t="s">
        <v>2929</v>
      </c>
      <c r="D519" s="561" t="s">
        <v>6343</v>
      </c>
      <c r="E519" s="573">
        <v>2000</v>
      </c>
      <c r="F519" s="561" t="s">
        <v>3339</v>
      </c>
      <c r="G519" s="571" t="s">
        <v>19</v>
      </c>
      <c r="H519" s="571" t="s">
        <v>35</v>
      </c>
      <c r="I519" s="571" t="s">
        <v>250</v>
      </c>
      <c r="J519" s="571">
        <v>44322</v>
      </c>
      <c r="K519" s="574" t="s">
        <v>3803</v>
      </c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70"/>
      <c r="AH519" s="570"/>
      <c r="AI519" s="570"/>
      <c r="AJ519" s="570"/>
      <c r="AK519" s="570"/>
      <c r="AL519" s="570"/>
      <c r="AM519" s="570"/>
      <c r="AN519" s="570"/>
      <c r="AO519" s="570"/>
      <c r="AP519" s="570"/>
      <c r="AQ519" s="570"/>
      <c r="AR519" s="570"/>
      <c r="AS519" s="570"/>
      <c r="AT519" s="570"/>
      <c r="AU519" s="570"/>
    </row>
    <row r="520" spans="1:47" ht="15.75" customHeight="1">
      <c r="A520" s="571">
        <v>44435</v>
      </c>
      <c r="B520" s="572" t="s">
        <v>6438</v>
      </c>
      <c r="C520" s="561" t="s">
        <v>2929</v>
      </c>
      <c r="D520" s="561" t="s">
        <v>956</v>
      </c>
      <c r="E520" s="573">
        <v>104633.35</v>
      </c>
      <c r="F520" s="561" t="s">
        <v>3046</v>
      </c>
      <c r="G520" s="571" t="s">
        <v>19</v>
      </c>
      <c r="H520" s="571" t="s">
        <v>35</v>
      </c>
      <c r="I520" s="571" t="s">
        <v>2979</v>
      </c>
      <c r="J520" s="571">
        <v>44273</v>
      </c>
      <c r="K520" s="574" t="s">
        <v>3803</v>
      </c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70"/>
      <c r="AH520" s="570"/>
      <c r="AI520" s="570"/>
      <c r="AJ520" s="570"/>
      <c r="AK520" s="570"/>
      <c r="AL520" s="570"/>
      <c r="AM520" s="570"/>
      <c r="AN520" s="570"/>
      <c r="AO520" s="570"/>
      <c r="AP520" s="570"/>
      <c r="AQ520" s="570"/>
      <c r="AR520" s="570"/>
      <c r="AS520" s="570"/>
      <c r="AT520" s="570"/>
      <c r="AU520" s="570"/>
    </row>
    <row r="521" spans="1:47" ht="15.75" customHeight="1">
      <c r="A521" s="571">
        <v>44438</v>
      </c>
      <c r="B521" s="572" t="s">
        <v>6535</v>
      </c>
      <c r="C521" s="561" t="s">
        <v>3793</v>
      </c>
      <c r="D521" s="561" t="s">
        <v>956</v>
      </c>
      <c r="E521" s="573">
        <v>0</v>
      </c>
      <c r="F521" s="561" t="s">
        <v>5114</v>
      </c>
      <c r="G521" s="561" t="s">
        <v>19</v>
      </c>
      <c r="H521" s="561" t="s">
        <v>20</v>
      </c>
      <c r="I521" s="561" t="s">
        <v>3801</v>
      </c>
      <c r="J521" s="571">
        <v>44133</v>
      </c>
      <c r="K521" s="577" t="s">
        <v>3813</v>
      </c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70"/>
      <c r="AH521" s="570"/>
      <c r="AI521" s="570"/>
      <c r="AJ521" s="570"/>
      <c r="AK521" s="570"/>
      <c r="AL521" s="570"/>
      <c r="AM521" s="570"/>
      <c r="AN521" s="570"/>
      <c r="AO521" s="570"/>
      <c r="AP521" s="570"/>
      <c r="AQ521" s="570"/>
      <c r="AR521" s="570"/>
      <c r="AS521" s="570"/>
      <c r="AT521" s="570"/>
      <c r="AU521" s="570"/>
    </row>
    <row r="522" spans="1:47" ht="15.75" customHeight="1">
      <c r="A522" s="575">
        <v>44438</v>
      </c>
      <c r="B522" s="576" t="s">
        <v>6540</v>
      </c>
      <c r="C522" s="405" t="s">
        <v>2929</v>
      </c>
      <c r="D522" s="561" t="s">
        <v>6343</v>
      </c>
      <c r="E522" s="573">
        <v>50000</v>
      </c>
      <c r="F522" s="561" t="s">
        <v>1103</v>
      </c>
      <c r="G522" s="571" t="s">
        <v>19</v>
      </c>
      <c r="H522" s="571" t="s">
        <v>35</v>
      </c>
      <c r="I522" s="571" t="s">
        <v>199</v>
      </c>
      <c r="J522" s="571">
        <v>44340</v>
      </c>
      <c r="K522" s="574" t="s">
        <v>3813</v>
      </c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70"/>
      <c r="AH522" s="570"/>
      <c r="AI522" s="570"/>
      <c r="AJ522" s="570"/>
      <c r="AK522" s="570"/>
      <c r="AL522" s="570"/>
      <c r="AM522" s="570"/>
      <c r="AN522" s="570"/>
      <c r="AO522" s="570"/>
      <c r="AP522" s="570"/>
      <c r="AQ522" s="570"/>
      <c r="AR522" s="570"/>
      <c r="AS522" s="570"/>
      <c r="AT522" s="570"/>
      <c r="AU522" s="570"/>
    </row>
    <row r="523" spans="1:47" ht="15.75" customHeight="1">
      <c r="A523" s="571">
        <v>44439</v>
      </c>
      <c r="B523" s="572" t="s">
        <v>6541</v>
      </c>
      <c r="C523" s="561" t="s">
        <v>2929</v>
      </c>
      <c r="D523" s="561" t="s">
        <v>956</v>
      </c>
      <c r="E523" s="573">
        <v>397214.14</v>
      </c>
      <c r="F523" s="561" t="s">
        <v>3499</v>
      </c>
      <c r="G523" s="571" t="s">
        <v>2931</v>
      </c>
      <c r="H523" s="571" t="s">
        <v>20</v>
      </c>
      <c r="I523" s="571" t="s">
        <v>2938</v>
      </c>
      <c r="J523" s="571">
        <v>43539</v>
      </c>
      <c r="K523" s="574" t="s">
        <v>3803</v>
      </c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70"/>
      <c r="AH523" s="570"/>
      <c r="AI523" s="570"/>
      <c r="AJ523" s="570"/>
      <c r="AK523" s="570"/>
      <c r="AL523" s="570"/>
      <c r="AM523" s="570"/>
      <c r="AN523" s="570"/>
      <c r="AO523" s="570"/>
      <c r="AP523" s="570"/>
      <c r="AQ523" s="570"/>
      <c r="AR523" s="570"/>
      <c r="AS523" s="570"/>
      <c r="AT523" s="570"/>
      <c r="AU523" s="570"/>
    </row>
    <row r="524" spans="1:47" ht="15.75" customHeight="1">
      <c r="A524" s="571">
        <v>44439</v>
      </c>
      <c r="B524" s="572" t="s">
        <v>6542</v>
      </c>
      <c r="C524" s="561" t="s">
        <v>2929</v>
      </c>
      <c r="D524" s="561" t="s">
        <v>956</v>
      </c>
      <c r="E524" s="573">
        <v>40150.79</v>
      </c>
      <c r="F524" s="561" t="s">
        <v>3499</v>
      </c>
      <c r="G524" s="571" t="s">
        <v>2931</v>
      </c>
      <c r="H524" s="571" t="s">
        <v>20</v>
      </c>
      <c r="I524" s="571" t="s">
        <v>2938</v>
      </c>
      <c r="J524" s="571">
        <v>44397</v>
      </c>
      <c r="K524" s="574" t="s">
        <v>3850</v>
      </c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70"/>
      <c r="AH524" s="570"/>
      <c r="AI524" s="570"/>
      <c r="AJ524" s="570"/>
      <c r="AK524" s="570"/>
      <c r="AL524" s="570"/>
      <c r="AM524" s="570"/>
      <c r="AN524" s="570"/>
      <c r="AO524" s="570"/>
      <c r="AP524" s="570"/>
      <c r="AQ524" s="570"/>
      <c r="AR524" s="570"/>
      <c r="AS524" s="570"/>
      <c r="AT524" s="570"/>
      <c r="AU524" s="570"/>
    </row>
    <row r="525" spans="1:47" ht="15.75" customHeight="1">
      <c r="A525" s="575">
        <v>44439</v>
      </c>
      <c r="B525" s="576" t="s">
        <v>6507</v>
      </c>
      <c r="C525" s="405" t="s">
        <v>2929</v>
      </c>
      <c r="D525" s="561" t="s">
        <v>6343</v>
      </c>
      <c r="E525" s="573">
        <v>20000</v>
      </c>
      <c r="F525" s="561" t="s">
        <v>3388</v>
      </c>
      <c r="G525" s="571" t="s">
        <v>19</v>
      </c>
      <c r="H525" s="571" t="s">
        <v>35</v>
      </c>
      <c r="I525" s="571" t="s">
        <v>199</v>
      </c>
      <c r="J525" s="571">
        <v>44319</v>
      </c>
      <c r="K525" s="574" t="s">
        <v>3803</v>
      </c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70"/>
      <c r="AH525" s="570"/>
      <c r="AI525" s="570"/>
      <c r="AJ525" s="570"/>
      <c r="AK525" s="570"/>
      <c r="AL525" s="570"/>
      <c r="AM525" s="570"/>
      <c r="AN525" s="570"/>
      <c r="AO525" s="570"/>
      <c r="AP525" s="570"/>
      <c r="AQ525" s="570"/>
      <c r="AR525" s="570"/>
      <c r="AS525" s="570"/>
      <c r="AT525" s="570"/>
      <c r="AU525" s="570"/>
    </row>
    <row r="526" spans="1:47" ht="15.75" customHeight="1">
      <c r="A526" s="575">
        <v>44439</v>
      </c>
      <c r="B526" s="576" t="s">
        <v>6521</v>
      </c>
      <c r="C526" s="405" t="s">
        <v>2929</v>
      </c>
      <c r="D526" s="561" t="s">
        <v>6343</v>
      </c>
      <c r="E526" s="573">
        <v>130000</v>
      </c>
      <c r="F526" s="561" t="s">
        <v>736</v>
      </c>
      <c r="G526" s="571" t="s">
        <v>19</v>
      </c>
      <c r="H526" s="571" t="s">
        <v>35</v>
      </c>
      <c r="I526" s="571" t="s">
        <v>199</v>
      </c>
      <c r="J526" s="571">
        <v>44280</v>
      </c>
      <c r="K526" s="574" t="s">
        <v>3803</v>
      </c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70"/>
      <c r="AH526" s="570"/>
      <c r="AI526" s="570"/>
      <c r="AJ526" s="570"/>
      <c r="AK526" s="570"/>
      <c r="AL526" s="570"/>
      <c r="AM526" s="570"/>
      <c r="AN526" s="570"/>
      <c r="AO526" s="570"/>
      <c r="AP526" s="570"/>
      <c r="AQ526" s="570"/>
      <c r="AR526" s="570"/>
      <c r="AS526" s="570"/>
      <c r="AT526" s="570"/>
      <c r="AU526" s="570"/>
    </row>
    <row r="527" spans="1:47" ht="15.75" customHeight="1">
      <c r="A527" s="575">
        <v>44440</v>
      </c>
      <c r="B527" s="576" t="s">
        <v>6410</v>
      </c>
      <c r="C527" s="405" t="s">
        <v>2929</v>
      </c>
      <c r="D527" s="561" t="s">
        <v>6343</v>
      </c>
      <c r="E527" s="573">
        <v>20000</v>
      </c>
      <c r="F527" s="561" t="s">
        <v>850</v>
      </c>
      <c r="G527" s="571" t="s">
        <v>19</v>
      </c>
      <c r="H527" s="571" t="s">
        <v>35</v>
      </c>
      <c r="I527" s="571" t="s">
        <v>199</v>
      </c>
      <c r="J527" s="571">
        <v>44321</v>
      </c>
      <c r="K527" s="574" t="s">
        <v>3803</v>
      </c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70"/>
      <c r="AH527" s="570"/>
      <c r="AI527" s="570"/>
      <c r="AJ527" s="570"/>
      <c r="AK527" s="570"/>
      <c r="AL527" s="570"/>
      <c r="AM527" s="570"/>
      <c r="AN527" s="570"/>
      <c r="AO527" s="570"/>
      <c r="AP527" s="570"/>
      <c r="AQ527" s="570"/>
      <c r="AR527" s="570"/>
      <c r="AS527" s="570"/>
      <c r="AT527" s="570"/>
      <c r="AU527" s="570"/>
    </row>
    <row r="528" spans="1:47" ht="15.75" customHeight="1">
      <c r="A528" s="575">
        <v>44440</v>
      </c>
      <c r="B528" s="576" t="s">
        <v>6370</v>
      </c>
      <c r="C528" s="405" t="s">
        <v>2929</v>
      </c>
      <c r="D528" s="561" t="s">
        <v>6343</v>
      </c>
      <c r="E528" s="573">
        <v>300000</v>
      </c>
      <c r="F528" s="561" t="s">
        <v>3356</v>
      </c>
      <c r="G528" s="571" t="s">
        <v>2931</v>
      </c>
      <c r="H528" s="571" t="s">
        <v>20</v>
      </c>
      <c r="I528" s="571" t="s">
        <v>2932</v>
      </c>
      <c r="J528" s="571">
        <v>43564</v>
      </c>
      <c r="K528" s="574" t="s">
        <v>3817</v>
      </c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70"/>
      <c r="AH528" s="570"/>
      <c r="AI528" s="570"/>
      <c r="AJ528" s="570"/>
      <c r="AK528" s="570"/>
      <c r="AL528" s="570"/>
      <c r="AM528" s="570"/>
      <c r="AN528" s="570"/>
      <c r="AO528" s="570"/>
      <c r="AP528" s="570"/>
      <c r="AQ528" s="570"/>
      <c r="AR528" s="570"/>
      <c r="AS528" s="570"/>
      <c r="AT528" s="570"/>
      <c r="AU528" s="570"/>
    </row>
    <row r="529" spans="1:47" ht="15.75" customHeight="1">
      <c r="A529" s="575">
        <v>44441</v>
      </c>
      <c r="B529" s="576" t="s">
        <v>6414</v>
      </c>
      <c r="C529" s="405" t="s">
        <v>3793</v>
      </c>
      <c r="D529" s="561" t="s">
        <v>6343</v>
      </c>
      <c r="E529" s="573">
        <v>25000</v>
      </c>
      <c r="F529" s="561" t="s">
        <v>4381</v>
      </c>
      <c r="G529" s="561" t="s">
        <v>46</v>
      </c>
      <c r="H529" s="561" t="s">
        <v>20</v>
      </c>
      <c r="I529" s="561" t="s">
        <v>3870</v>
      </c>
      <c r="J529" s="571">
        <v>44263</v>
      </c>
      <c r="K529" s="577" t="s">
        <v>3803</v>
      </c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70"/>
      <c r="AH529" s="570"/>
      <c r="AI529" s="570"/>
      <c r="AJ529" s="570"/>
      <c r="AK529" s="570"/>
      <c r="AL529" s="570"/>
      <c r="AM529" s="570"/>
      <c r="AN529" s="570"/>
      <c r="AO529" s="570"/>
      <c r="AP529" s="570"/>
      <c r="AQ529" s="570"/>
      <c r="AR529" s="570"/>
      <c r="AS529" s="570"/>
      <c r="AT529" s="570"/>
      <c r="AU529" s="570"/>
    </row>
    <row r="530" spans="1:47" ht="15.75" customHeight="1">
      <c r="A530" s="575">
        <v>44441</v>
      </c>
      <c r="B530" s="576" t="s">
        <v>6351</v>
      </c>
      <c r="C530" s="405" t="s">
        <v>2929</v>
      </c>
      <c r="D530" s="561" t="s">
        <v>6343</v>
      </c>
      <c r="E530" s="573">
        <v>17000</v>
      </c>
      <c r="F530" s="561" t="s">
        <v>3235</v>
      </c>
      <c r="G530" s="571" t="s">
        <v>2931</v>
      </c>
      <c r="H530" s="571" t="s">
        <v>20</v>
      </c>
      <c r="I530" s="571" t="s">
        <v>2932</v>
      </c>
      <c r="J530" s="571">
        <v>43605</v>
      </c>
      <c r="K530" s="574" t="s">
        <v>3813</v>
      </c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70"/>
      <c r="AH530" s="570"/>
      <c r="AI530" s="570"/>
      <c r="AJ530" s="570"/>
      <c r="AK530" s="570"/>
      <c r="AL530" s="570"/>
      <c r="AM530" s="570"/>
      <c r="AN530" s="570"/>
      <c r="AO530" s="570"/>
      <c r="AP530" s="570"/>
      <c r="AQ530" s="570"/>
      <c r="AR530" s="570"/>
      <c r="AS530" s="570"/>
      <c r="AT530" s="570"/>
      <c r="AU530" s="570"/>
    </row>
    <row r="531" spans="1:47" ht="15.75" customHeight="1">
      <c r="A531" s="571">
        <v>44442</v>
      </c>
      <c r="B531" s="572" t="s">
        <v>6543</v>
      </c>
      <c r="C531" s="561" t="s">
        <v>3793</v>
      </c>
      <c r="D531" s="561" t="s">
        <v>956</v>
      </c>
      <c r="E531" s="573">
        <v>0</v>
      </c>
      <c r="F531" s="561" t="s">
        <v>3894</v>
      </c>
      <c r="G531" s="561" t="s">
        <v>19</v>
      </c>
      <c r="H531" s="561" t="s">
        <v>20</v>
      </c>
      <c r="I531" s="561" t="s">
        <v>3801</v>
      </c>
      <c r="J531" s="571">
        <v>44245</v>
      </c>
      <c r="K531" s="577" t="s">
        <v>3803</v>
      </c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70"/>
      <c r="AH531" s="570"/>
      <c r="AI531" s="570"/>
      <c r="AJ531" s="570"/>
      <c r="AK531" s="570"/>
      <c r="AL531" s="570"/>
      <c r="AM531" s="570"/>
      <c r="AN531" s="570"/>
      <c r="AO531" s="570"/>
      <c r="AP531" s="570"/>
      <c r="AQ531" s="570"/>
      <c r="AR531" s="570"/>
      <c r="AS531" s="570"/>
      <c r="AT531" s="570"/>
      <c r="AU531" s="570"/>
    </row>
    <row r="532" spans="1:47" ht="15.75" customHeight="1">
      <c r="A532" s="575">
        <v>44442</v>
      </c>
      <c r="B532" s="576" t="s">
        <v>6544</v>
      </c>
      <c r="C532" s="405" t="s">
        <v>3793</v>
      </c>
      <c r="D532" s="561" t="s">
        <v>6343</v>
      </c>
      <c r="E532" s="573">
        <v>150000</v>
      </c>
      <c r="F532" s="561" t="s">
        <v>3808</v>
      </c>
      <c r="G532" s="561" t="s">
        <v>19</v>
      </c>
      <c r="H532" s="561" t="s">
        <v>20</v>
      </c>
      <c r="I532" s="561" t="s">
        <v>3801</v>
      </c>
      <c r="J532" s="571">
        <v>44326</v>
      </c>
      <c r="K532" s="577" t="s">
        <v>3810</v>
      </c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70"/>
      <c r="AH532" s="570"/>
      <c r="AI532" s="570"/>
      <c r="AJ532" s="570"/>
      <c r="AK532" s="570"/>
      <c r="AL532" s="570"/>
      <c r="AM532" s="570"/>
      <c r="AN532" s="570"/>
      <c r="AO532" s="570"/>
      <c r="AP532" s="570"/>
      <c r="AQ532" s="570"/>
      <c r="AR532" s="570"/>
      <c r="AS532" s="570"/>
      <c r="AT532" s="570"/>
      <c r="AU532" s="570"/>
    </row>
    <row r="533" spans="1:47" ht="15.75" customHeight="1">
      <c r="A533" s="575">
        <v>44442</v>
      </c>
      <c r="B533" s="576" t="s">
        <v>6545</v>
      </c>
      <c r="C533" s="405" t="s">
        <v>3793</v>
      </c>
      <c r="D533" s="561" t="s">
        <v>6343</v>
      </c>
      <c r="E533" s="573">
        <v>84278.97</v>
      </c>
      <c r="F533" s="561" t="s">
        <v>5261</v>
      </c>
      <c r="G533" s="561" t="s">
        <v>2931</v>
      </c>
      <c r="H533" s="561" t="s">
        <v>20</v>
      </c>
      <c r="I533" s="561" t="s">
        <v>2931</v>
      </c>
      <c r="J533" s="571">
        <v>44355</v>
      </c>
      <c r="K533" s="577" t="s">
        <v>3813</v>
      </c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70"/>
      <c r="AH533" s="570"/>
      <c r="AI533" s="570"/>
      <c r="AJ533" s="570"/>
      <c r="AK533" s="570"/>
      <c r="AL533" s="570"/>
      <c r="AM533" s="570"/>
      <c r="AN533" s="570"/>
      <c r="AO533" s="570"/>
      <c r="AP533" s="570"/>
      <c r="AQ533" s="570"/>
      <c r="AR533" s="570"/>
      <c r="AS533" s="570"/>
      <c r="AT533" s="570"/>
      <c r="AU533" s="570"/>
    </row>
    <row r="534" spans="1:47" ht="15.75" customHeight="1">
      <c r="A534" s="575">
        <v>44442</v>
      </c>
      <c r="B534" s="576" t="s">
        <v>6494</v>
      </c>
      <c r="C534" s="405" t="s">
        <v>2929</v>
      </c>
      <c r="D534" s="561" t="s">
        <v>6343</v>
      </c>
      <c r="E534" s="573">
        <v>130000</v>
      </c>
      <c r="F534" s="561" t="s">
        <v>3226</v>
      </c>
      <c r="G534" s="571" t="s">
        <v>19</v>
      </c>
      <c r="H534" s="571" t="s">
        <v>35</v>
      </c>
      <c r="I534" s="571" t="s">
        <v>199</v>
      </c>
      <c r="J534" s="571">
        <v>44313</v>
      </c>
      <c r="K534" s="574" t="s">
        <v>3803</v>
      </c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70"/>
      <c r="AH534" s="570"/>
      <c r="AI534" s="570"/>
      <c r="AJ534" s="570"/>
      <c r="AK534" s="570"/>
      <c r="AL534" s="570"/>
      <c r="AM534" s="570"/>
      <c r="AN534" s="570"/>
      <c r="AO534" s="570"/>
      <c r="AP534" s="570"/>
      <c r="AQ534" s="570"/>
      <c r="AR534" s="570"/>
      <c r="AS534" s="570"/>
      <c r="AT534" s="570"/>
      <c r="AU534" s="570"/>
    </row>
    <row r="535" spans="1:47" ht="15.75" customHeight="1">
      <c r="A535" s="571">
        <v>44445</v>
      </c>
      <c r="B535" s="572" t="s">
        <v>6546</v>
      </c>
      <c r="C535" s="561" t="s">
        <v>3793</v>
      </c>
      <c r="D535" s="561" t="s">
        <v>956</v>
      </c>
      <c r="E535" s="573">
        <v>0</v>
      </c>
      <c r="F535" s="561" t="s">
        <v>4229</v>
      </c>
      <c r="G535" s="561" t="s">
        <v>19</v>
      </c>
      <c r="H535" s="561" t="s">
        <v>20</v>
      </c>
      <c r="I535" s="561" t="s">
        <v>3801</v>
      </c>
      <c r="J535" s="571">
        <v>44085</v>
      </c>
      <c r="K535" s="577" t="s">
        <v>3810</v>
      </c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70"/>
      <c r="AH535" s="570"/>
      <c r="AI535" s="570"/>
      <c r="AJ535" s="570"/>
      <c r="AK535" s="570"/>
      <c r="AL535" s="570"/>
      <c r="AM535" s="570"/>
      <c r="AN535" s="570"/>
      <c r="AO535" s="570"/>
      <c r="AP535" s="570"/>
      <c r="AQ535" s="570"/>
      <c r="AR535" s="570"/>
      <c r="AS535" s="570"/>
      <c r="AT535" s="570"/>
      <c r="AU535" s="570"/>
    </row>
    <row r="536" spans="1:47" ht="15.75" customHeight="1">
      <c r="A536" s="571">
        <v>44445</v>
      </c>
      <c r="B536" s="572" t="s">
        <v>6547</v>
      </c>
      <c r="C536" s="561" t="s">
        <v>3793</v>
      </c>
      <c r="D536" s="561" t="s">
        <v>956</v>
      </c>
      <c r="E536" s="573">
        <v>0</v>
      </c>
      <c r="F536" s="561" t="s">
        <v>5100</v>
      </c>
      <c r="G536" s="561" t="s">
        <v>19</v>
      </c>
      <c r="H536" s="561" t="s">
        <v>20</v>
      </c>
      <c r="I536" s="561" t="s">
        <v>3801</v>
      </c>
      <c r="J536" s="571">
        <v>44147</v>
      </c>
      <c r="K536" s="577" t="s">
        <v>3813</v>
      </c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70"/>
      <c r="AH536" s="570"/>
      <c r="AI536" s="570"/>
      <c r="AJ536" s="570"/>
      <c r="AK536" s="570"/>
      <c r="AL536" s="570"/>
      <c r="AM536" s="570"/>
      <c r="AN536" s="570"/>
      <c r="AO536" s="570"/>
      <c r="AP536" s="570"/>
      <c r="AQ536" s="570"/>
      <c r="AR536" s="570"/>
      <c r="AS536" s="570"/>
      <c r="AT536" s="570"/>
      <c r="AU536" s="570"/>
    </row>
    <row r="537" spans="1:47" ht="15.75" customHeight="1">
      <c r="A537" s="575">
        <v>44445</v>
      </c>
      <c r="B537" s="576" t="s">
        <v>6476</v>
      </c>
      <c r="C537" s="405" t="s">
        <v>2929</v>
      </c>
      <c r="D537" s="561" t="s">
        <v>6343</v>
      </c>
      <c r="E537" s="573">
        <v>20000</v>
      </c>
      <c r="F537" s="561" t="s">
        <v>3245</v>
      </c>
      <c r="G537" s="571" t="s">
        <v>19</v>
      </c>
      <c r="H537" s="571" t="s">
        <v>35</v>
      </c>
      <c r="I537" s="571" t="s">
        <v>2979</v>
      </c>
      <c r="J537" s="571">
        <v>44266</v>
      </c>
      <c r="K537" s="574" t="s">
        <v>3813</v>
      </c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70"/>
      <c r="AH537" s="570"/>
      <c r="AI537" s="570"/>
      <c r="AJ537" s="570"/>
      <c r="AK537" s="570"/>
      <c r="AL537" s="570"/>
      <c r="AM537" s="570"/>
      <c r="AN537" s="570"/>
      <c r="AO537" s="570"/>
      <c r="AP537" s="570"/>
      <c r="AQ537" s="570"/>
      <c r="AR537" s="570"/>
      <c r="AS537" s="570"/>
      <c r="AT537" s="570"/>
      <c r="AU537" s="570"/>
    </row>
    <row r="538" spans="1:47" ht="15.75" customHeight="1">
      <c r="A538" s="571">
        <v>44447</v>
      </c>
      <c r="B538" s="572" t="s">
        <v>6548</v>
      </c>
      <c r="C538" s="561" t="s">
        <v>3793</v>
      </c>
      <c r="D538" s="561" t="s">
        <v>956</v>
      </c>
      <c r="E538" s="573">
        <v>0</v>
      </c>
      <c r="F538" s="561" t="s">
        <v>5089</v>
      </c>
      <c r="G538" s="561" t="s">
        <v>19</v>
      </c>
      <c r="H538" s="561" t="s">
        <v>20</v>
      </c>
      <c r="I538" s="561" t="s">
        <v>6549</v>
      </c>
      <c r="J538" s="571">
        <v>44096</v>
      </c>
      <c r="K538" s="577" t="s">
        <v>3803</v>
      </c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70"/>
      <c r="AH538" s="570"/>
      <c r="AI538" s="570"/>
      <c r="AJ538" s="570"/>
      <c r="AK538" s="570"/>
      <c r="AL538" s="570"/>
      <c r="AM538" s="570"/>
      <c r="AN538" s="570"/>
      <c r="AO538" s="570"/>
      <c r="AP538" s="570"/>
      <c r="AQ538" s="570"/>
      <c r="AR538" s="570"/>
      <c r="AS538" s="570"/>
      <c r="AT538" s="570"/>
      <c r="AU538" s="570"/>
    </row>
    <row r="539" spans="1:47" ht="15.75" customHeight="1">
      <c r="A539" s="575">
        <v>44447</v>
      </c>
      <c r="B539" s="576" t="s">
        <v>6550</v>
      </c>
      <c r="C539" s="405" t="s">
        <v>2929</v>
      </c>
      <c r="D539" s="561" t="s">
        <v>6343</v>
      </c>
      <c r="E539" s="573">
        <v>300000</v>
      </c>
      <c r="F539" s="561" t="s">
        <v>3231</v>
      </c>
      <c r="G539" s="571" t="s">
        <v>2997</v>
      </c>
      <c r="H539" s="571" t="s">
        <v>20</v>
      </c>
      <c r="I539" s="571" t="s">
        <v>2997</v>
      </c>
      <c r="J539" s="571">
        <v>44021</v>
      </c>
      <c r="K539" s="574" t="s">
        <v>3803</v>
      </c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70"/>
      <c r="AH539" s="570"/>
      <c r="AI539" s="570"/>
      <c r="AJ539" s="570"/>
      <c r="AK539" s="570"/>
      <c r="AL539" s="570"/>
      <c r="AM539" s="570"/>
      <c r="AN539" s="570"/>
      <c r="AO539" s="570"/>
      <c r="AP539" s="570"/>
      <c r="AQ539" s="570"/>
      <c r="AR539" s="570"/>
      <c r="AS539" s="570"/>
      <c r="AT539" s="570"/>
      <c r="AU539" s="570"/>
    </row>
    <row r="540" spans="1:47" ht="15.75" customHeight="1">
      <c r="A540" s="575">
        <v>44447</v>
      </c>
      <c r="B540" s="576" t="s">
        <v>6461</v>
      </c>
      <c r="C540" s="405" t="s">
        <v>2929</v>
      </c>
      <c r="D540" s="561" t="s">
        <v>6343</v>
      </c>
      <c r="E540" s="573">
        <v>25000</v>
      </c>
      <c r="F540" s="561" t="s">
        <v>3454</v>
      </c>
      <c r="G540" s="571" t="s">
        <v>19</v>
      </c>
      <c r="H540" s="571" t="s">
        <v>35</v>
      </c>
      <c r="I540" s="571" t="s">
        <v>250</v>
      </c>
      <c r="J540" s="571">
        <v>44279</v>
      </c>
      <c r="K540" s="574" t="s">
        <v>3803</v>
      </c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70"/>
      <c r="AH540" s="570"/>
      <c r="AI540" s="570"/>
      <c r="AJ540" s="570"/>
      <c r="AK540" s="570"/>
      <c r="AL540" s="570"/>
      <c r="AM540" s="570"/>
      <c r="AN540" s="570"/>
      <c r="AO540" s="570"/>
      <c r="AP540" s="570"/>
      <c r="AQ540" s="570"/>
      <c r="AR540" s="570"/>
      <c r="AS540" s="570"/>
      <c r="AT540" s="570"/>
      <c r="AU540" s="570"/>
    </row>
    <row r="541" spans="1:47" ht="15.75" customHeight="1">
      <c r="A541" s="571">
        <v>44448</v>
      </c>
      <c r="B541" s="572" t="s">
        <v>6551</v>
      </c>
      <c r="C541" s="561" t="s">
        <v>2929</v>
      </c>
      <c r="D541" s="561" t="s">
        <v>956</v>
      </c>
      <c r="E541" s="573">
        <v>130029.24</v>
      </c>
      <c r="F541" s="561" t="s">
        <v>3507</v>
      </c>
      <c r="G541" s="571" t="s">
        <v>2997</v>
      </c>
      <c r="H541" s="571" t="s">
        <v>20</v>
      </c>
      <c r="I541" s="571" t="s">
        <v>2997</v>
      </c>
      <c r="J541" s="571">
        <v>43441</v>
      </c>
      <c r="K541" s="574" t="s">
        <v>3817</v>
      </c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70"/>
      <c r="AH541" s="570"/>
      <c r="AI541" s="570"/>
      <c r="AJ541" s="570"/>
      <c r="AK541" s="570"/>
      <c r="AL541" s="570"/>
      <c r="AM541" s="570"/>
      <c r="AN541" s="570"/>
      <c r="AO541" s="570"/>
      <c r="AP541" s="570"/>
      <c r="AQ541" s="570"/>
      <c r="AR541" s="570"/>
      <c r="AS541" s="570"/>
      <c r="AT541" s="570"/>
      <c r="AU541" s="570"/>
    </row>
    <row r="542" spans="1:47" ht="15.75" customHeight="1">
      <c r="A542" s="571">
        <v>44448</v>
      </c>
      <c r="B542" s="572" t="s">
        <v>6369</v>
      </c>
      <c r="C542" s="561" t="s">
        <v>2929</v>
      </c>
      <c r="D542" s="561" t="s">
        <v>956</v>
      </c>
      <c r="E542" s="573">
        <v>555581.43999999994</v>
      </c>
      <c r="F542" s="561" t="s">
        <v>3487</v>
      </c>
      <c r="G542" s="571" t="s">
        <v>2931</v>
      </c>
      <c r="H542" s="571" t="s">
        <v>20</v>
      </c>
      <c r="I542" s="571" t="s">
        <v>2938</v>
      </c>
      <c r="J542" s="571">
        <v>43607</v>
      </c>
      <c r="K542" s="574" t="s">
        <v>4196</v>
      </c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70"/>
      <c r="AH542" s="570"/>
      <c r="AI542" s="570"/>
      <c r="AJ542" s="570"/>
      <c r="AK542" s="570"/>
      <c r="AL542" s="570"/>
      <c r="AM542" s="570"/>
      <c r="AN542" s="570"/>
      <c r="AO542" s="570"/>
      <c r="AP542" s="570"/>
      <c r="AQ542" s="570"/>
      <c r="AR542" s="570"/>
      <c r="AS542" s="570"/>
      <c r="AT542" s="570"/>
      <c r="AU542" s="570"/>
    </row>
    <row r="543" spans="1:47" ht="15.75" customHeight="1">
      <c r="A543" s="575">
        <v>44448</v>
      </c>
      <c r="B543" s="576" t="s">
        <v>6552</v>
      </c>
      <c r="C543" s="405" t="s">
        <v>2929</v>
      </c>
      <c r="D543" s="561" t="s">
        <v>6343</v>
      </c>
      <c r="E543" s="573">
        <v>17000</v>
      </c>
      <c r="F543" s="561" t="s">
        <v>3509</v>
      </c>
      <c r="G543" s="571" t="s">
        <v>19</v>
      </c>
      <c r="H543" s="571" t="s">
        <v>35</v>
      </c>
      <c r="I543" s="571" t="s">
        <v>199</v>
      </c>
      <c r="J543" s="571">
        <v>44263</v>
      </c>
      <c r="K543" s="574" t="s">
        <v>3813</v>
      </c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70"/>
      <c r="AH543" s="570"/>
      <c r="AI543" s="570"/>
      <c r="AJ543" s="570"/>
      <c r="AK543" s="570"/>
      <c r="AL543" s="570"/>
      <c r="AM543" s="570"/>
      <c r="AN543" s="570"/>
      <c r="AO543" s="570"/>
      <c r="AP543" s="570"/>
      <c r="AQ543" s="570"/>
      <c r="AR543" s="570"/>
      <c r="AS543" s="570"/>
      <c r="AT543" s="570"/>
      <c r="AU543" s="570"/>
    </row>
    <row r="544" spans="1:47" ht="15.75" customHeight="1">
      <c r="A544" s="575">
        <v>44449</v>
      </c>
      <c r="B544" s="576" t="s">
        <v>6553</v>
      </c>
      <c r="C544" s="405" t="s">
        <v>2929</v>
      </c>
      <c r="D544" s="561" t="s">
        <v>6343</v>
      </c>
      <c r="E544" s="573">
        <v>2502500.1</v>
      </c>
      <c r="F544" s="561" t="s">
        <v>306</v>
      </c>
      <c r="G544" s="571" t="s">
        <v>19</v>
      </c>
      <c r="H544" s="571" t="s">
        <v>35</v>
      </c>
      <c r="I544" s="571" t="s">
        <v>199</v>
      </c>
      <c r="J544" s="571">
        <v>44266</v>
      </c>
      <c r="K544" s="574" t="s">
        <v>3797</v>
      </c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70"/>
      <c r="AH544" s="570"/>
      <c r="AI544" s="570"/>
      <c r="AJ544" s="570"/>
      <c r="AK544" s="570"/>
      <c r="AL544" s="570"/>
      <c r="AM544" s="570"/>
      <c r="AN544" s="570"/>
      <c r="AO544" s="570"/>
      <c r="AP544" s="570"/>
      <c r="AQ544" s="570"/>
      <c r="AR544" s="570"/>
      <c r="AS544" s="570"/>
      <c r="AT544" s="570"/>
      <c r="AU544" s="570"/>
    </row>
    <row r="545" spans="1:47" ht="15.75" customHeight="1">
      <c r="A545" s="575">
        <v>44449</v>
      </c>
      <c r="B545" s="576" t="s">
        <v>6554</v>
      </c>
      <c r="C545" s="405" t="s">
        <v>3793</v>
      </c>
      <c r="D545" s="561" t="s">
        <v>921</v>
      </c>
      <c r="E545" s="573">
        <v>0</v>
      </c>
      <c r="F545" s="561" t="s">
        <v>4214</v>
      </c>
      <c r="G545" s="561" t="s">
        <v>2931</v>
      </c>
      <c r="H545" s="561" t="s">
        <v>20</v>
      </c>
      <c r="I545" s="561" t="s">
        <v>2931</v>
      </c>
      <c r="J545" s="571">
        <v>43869</v>
      </c>
      <c r="K545" s="577" t="s">
        <v>3803</v>
      </c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70"/>
      <c r="AH545" s="570"/>
      <c r="AI545" s="570"/>
      <c r="AJ545" s="570"/>
      <c r="AK545" s="570"/>
      <c r="AL545" s="570"/>
      <c r="AM545" s="570"/>
      <c r="AN545" s="570"/>
      <c r="AO545" s="570"/>
      <c r="AP545" s="570"/>
      <c r="AQ545" s="570"/>
      <c r="AR545" s="570"/>
      <c r="AS545" s="570"/>
      <c r="AT545" s="570"/>
      <c r="AU545" s="570"/>
    </row>
    <row r="546" spans="1:47" ht="15.75" customHeight="1">
      <c r="A546" s="571">
        <v>44450</v>
      </c>
      <c r="B546" s="572" t="s">
        <v>6555</v>
      </c>
      <c r="C546" s="561" t="s">
        <v>3793</v>
      </c>
      <c r="D546" s="561" t="s">
        <v>956</v>
      </c>
      <c r="E546" s="573">
        <v>0</v>
      </c>
      <c r="F546" s="561" t="s">
        <v>4260</v>
      </c>
      <c r="G546" s="561" t="s">
        <v>19</v>
      </c>
      <c r="H546" s="561" t="s">
        <v>20</v>
      </c>
      <c r="I546" s="561" t="s">
        <v>3801</v>
      </c>
      <c r="J546" s="571">
        <v>44203</v>
      </c>
      <c r="K546" s="577" t="s">
        <v>3803</v>
      </c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70"/>
      <c r="AH546" s="570"/>
      <c r="AI546" s="570"/>
      <c r="AJ546" s="570"/>
      <c r="AK546" s="570"/>
      <c r="AL546" s="570"/>
      <c r="AM546" s="570"/>
      <c r="AN546" s="570"/>
      <c r="AO546" s="570"/>
      <c r="AP546" s="570"/>
      <c r="AQ546" s="570"/>
      <c r="AR546" s="570"/>
      <c r="AS546" s="570"/>
      <c r="AT546" s="570"/>
      <c r="AU546" s="570"/>
    </row>
    <row r="547" spans="1:47" ht="15.75" customHeight="1">
      <c r="A547" s="571">
        <v>44450</v>
      </c>
      <c r="B547" s="572" t="s">
        <v>6556</v>
      </c>
      <c r="C547" s="561" t="s">
        <v>3793</v>
      </c>
      <c r="D547" s="561" t="s">
        <v>956</v>
      </c>
      <c r="E547" s="573">
        <v>0</v>
      </c>
      <c r="F547" s="561" t="s">
        <v>4260</v>
      </c>
      <c r="G547" s="561" t="s">
        <v>19</v>
      </c>
      <c r="H547" s="561" t="s">
        <v>20</v>
      </c>
      <c r="I547" s="561" t="s">
        <v>3801</v>
      </c>
      <c r="J547" s="571">
        <v>44203</v>
      </c>
      <c r="K547" s="577" t="s">
        <v>3850</v>
      </c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70"/>
      <c r="AH547" s="570"/>
      <c r="AI547" s="570"/>
      <c r="AJ547" s="570"/>
      <c r="AK547" s="570"/>
      <c r="AL547" s="570"/>
      <c r="AM547" s="570"/>
      <c r="AN547" s="570"/>
      <c r="AO547" s="570"/>
      <c r="AP547" s="570"/>
      <c r="AQ547" s="570"/>
      <c r="AR547" s="570"/>
      <c r="AS547" s="570"/>
      <c r="AT547" s="570"/>
      <c r="AU547" s="570"/>
    </row>
    <row r="548" spans="1:47" ht="15.75" customHeight="1">
      <c r="A548" s="575">
        <v>44452</v>
      </c>
      <c r="B548" s="576" t="s">
        <v>6557</v>
      </c>
      <c r="C548" s="405" t="s">
        <v>3793</v>
      </c>
      <c r="D548" s="561" t="s">
        <v>6343</v>
      </c>
      <c r="E548" s="600">
        <v>4000</v>
      </c>
      <c r="F548" s="561" t="s">
        <v>3939</v>
      </c>
      <c r="G548" s="561" t="s">
        <v>46</v>
      </c>
      <c r="H548" s="561" t="s">
        <v>20</v>
      </c>
      <c r="I548" s="561" t="s">
        <v>3640</v>
      </c>
      <c r="J548" s="571">
        <v>44362</v>
      </c>
      <c r="K548" s="577" t="s">
        <v>3813</v>
      </c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70"/>
      <c r="AH548" s="570"/>
      <c r="AI548" s="570"/>
      <c r="AJ548" s="570"/>
      <c r="AK548" s="570"/>
      <c r="AL548" s="570"/>
      <c r="AM548" s="570"/>
      <c r="AN548" s="570"/>
      <c r="AO548" s="570"/>
      <c r="AP548" s="570"/>
      <c r="AQ548" s="570"/>
      <c r="AR548" s="570"/>
      <c r="AS548" s="570"/>
      <c r="AT548" s="570"/>
      <c r="AU548" s="570"/>
    </row>
    <row r="549" spans="1:47" ht="15.75" customHeight="1">
      <c r="A549" s="575">
        <v>44452</v>
      </c>
      <c r="B549" s="576" t="s">
        <v>6411</v>
      </c>
      <c r="C549" s="405" t="s">
        <v>2929</v>
      </c>
      <c r="D549" s="561" t="s">
        <v>6343</v>
      </c>
      <c r="E549" s="600">
        <v>20000</v>
      </c>
      <c r="F549" s="561" t="s">
        <v>3264</v>
      </c>
      <c r="G549" s="571" t="s">
        <v>19</v>
      </c>
      <c r="H549" s="571" t="s">
        <v>35</v>
      </c>
      <c r="I549" s="571" t="s">
        <v>199</v>
      </c>
      <c r="J549" s="571">
        <v>44295</v>
      </c>
      <c r="K549" s="574" t="s">
        <v>3810</v>
      </c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70"/>
      <c r="AH549" s="570"/>
      <c r="AI549" s="570"/>
      <c r="AJ549" s="570"/>
      <c r="AK549" s="570"/>
      <c r="AL549" s="570"/>
      <c r="AM549" s="570"/>
      <c r="AN549" s="570"/>
      <c r="AO549" s="570"/>
      <c r="AP549" s="570"/>
      <c r="AQ549" s="570"/>
      <c r="AR549" s="570"/>
      <c r="AS549" s="570"/>
      <c r="AT549" s="570"/>
      <c r="AU549" s="570"/>
    </row>
    <row r="550" spans="1:47" ht="15.75" customHeight="1">
      <c r="A550" s="575">
        <v>44452</v>
      </c>
      <c r="B550" s="576" t="s">
        <v>6477</v>
      </c>
      <c r="C550" s="405" t="s">
        <v>2929</v>
      </c>
      <c r="D550" s="561" t="s">
        <v>6343</v>
      </c>
      <c r="E550" s="600">
        <v>5000</v>
      </c>
      <c r="F550" s="561" t="s">
        <v>3472</v>
      </c>
      <c r="G550" s="571" t="s">
        <v>19</v>
      </c>
      <c r="H550" s="571" t="s">
        <v>35</v>
      </c>
      <c r="I550" s="571" t="s">
        <v>250</v>
      </c>
      <c r="J550" s="571">
        <v>44319</v>
      </c>
      <c r="K550" s="574" t="s">
        <v>3803</v>
      </c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70"/>
      <c r="AH550" s="570"/>
      <c r="AI550" s="570"/>
      <c r="AJ550" s="570"/>
      <c r="AK550" s="570"/>
      <c r="AL550" s="570"/>
      <c r="AM550" s="570"/>
      <c r="AN550" s="570"/>
      <c r="AO550" s="570"/>
      <c r="AP550" s="570"/>
      <c r="AQ550" s="570"/>
      <c r="AR550" s="570"/>
      <c r="AS550" s="570"/>
      <c r="AT550" s="570"/>
      <c r="AU550" s="570"/>
    </row>
    <row r="551" spans="1:47" ht="15.75" customHeight="1">
      <c r="A551" s="571">
        <v>44452</v>
      </c>
      <c r="B551" s="572" t="s">
        <v>6558</v>
      </c>
      <c r="C551" s="561" t="s">
        <v>3793</v>
      </c>
      <c r="D551" s="561" t="s">
        <v>956</v>
      </c>
      <c r="E551" s="573">
        <v>0</v>
      </c>
      <c r="F551" s="561" t="s">
        <v>5190</v>
      </c>
      <c r="G551" s="561" t="s">
        <v>4066</v>
      </c>
      <c r="H551" s="561" t="s">
        <v>20</v>
      </c>
      <c r="I551" s="561" t="s">
        <v>46</v>
      </c>
      <c r="J551" s="571">
        <v>44250</v>
      </c>
      <c r="K551" s="577" t="s">
        <v>3850</v>
      </c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70"/>
      <c r="AH551" s="570"/>
      <c r="AI551" s="570"/>
      <c r="AJ551" s="570"/>
      <c r="AK551" s="570"/>
      <c r="AL551" s="570"/>
      <c r="AM551" s="570"/>
      <c r="AN551" s="570"/>
      <c r="AO551" s="570"/>
      <c r="AP551" s="570"/>
      <c r="AQ551" s="570"/>
      <c r="AR551" s="570"/>
      <c r="AS551" s="570"/>
      <c r="AT551" s="570"/>
      <c r="AU551" s="570"/>
    </row>
    <row r="552" spans="1:47" ht="15.75" customHeight="1">
      <c r="A552" s="571">
        <v>44452</v>
      </c>
      <c r="B552" s="572" t="s">
        <v>6559</v>
      </c>
      <c r="C552" s="561" t="s">
        <v>3793</v>
      </c>
      <c r="D552" s="561" t="s">
        <v>956</v>
      </c>
      <c r="E552" s="573">
        <v>0</v>
      </c>
      <c r="F552" s="561" t="s">
        <v>5106</v>
      </c>
      <c r="G552" s="561" t="s">
        <v>19</v>
      </c>
      <c r="H552" s="561" t="s">
        <v>20</v>
      </c>
      <c r="I552" s="561" t="s">
        <v>3801</v>
      </c>
      <c r="J552" s="571">
        <v>44120</v>
      </c>
      <c r="K552" s="577" t="s">
        <v>3803</v>
      </c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70"/>
      <c r="AH552" s="570"/>
      <c r="AI552" s="570"/>
      <c r="AJ552" s="570"/>
      <c r="AK552" s="570"/>
      <c r="AL552" s="570"/>
      <c r="AM552" s="570"/>
      <c r="AN552" s="570"/>
      <c r="AO552" s="570"/>
      <c r="AP552" s="570"/>
      <c r="AQ552" s="570"/>
      <c r="AR552" s="570"/>
      <c r="AS552" s="570"/>
      <c r="AT552" s="570"/>
      <c r="AU552" s="570"/>
    </row>
    <row r="553" spans="1:47" ht="15.75" customHeight="1">
      <c r="A553" s="575">
        <v>44453</v>
      </c>
      <c r="B553" s="576" t="s">
        <v>6474</v>
      </c>
      <c r="C553" s="405" t="s">
        <v>2929</v>
      </c>
      <c r="D553" s="561" t="s">
        <v>6343</v>
      </c>
      <c r="E553" s="600">
        <v>10000</v>
      </c>
      <c r="F553" s="561" t="s">
        <v>3001</v>
      </c>
      <c r="G553" s="571" t="s">
        <v>19</v>
      </c>
      <c r="H553" s="571" t="s">
        <v>35</v>
      </c>
      <c r="I553" s="571" t="s">
        <v>250</v>
      </c>
      <c r="J553" s="571">
        <v>44295</v>
      </c>
      <c r="K553" s="574" t="s">
        <v>3797</v>
      </c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70"/>
      <c r="AH553" s="570"/>
      <c r="AI553" s="570"/>
      <c r="AJ553" s="570"/>
      <c r="AK553" s="570"/>
      <c r="AL553" s="570"/>
      <c r="AM553" s="570"/>
      <c r="AN553" s="570"/>
      <c r="AO553" s="570"/>
      <c r="AP553" s="570"/>
      <c r="AQ553" s="570"/>
      <c r="AR553" s="570"/>
      <c r="AS553" s="570"/>
      <c r="AT553" s="570"/>
      <c r="AU553" s="570"/>
    </row>
    <row r="554" spans="1:47" ht="15.75" customHeight="1">
      <c r="A554" s="575">
        <v>44453</v>
      </c>
      <c r="B554" s="576" t="s">
        <v>6550</v>
      </c>
      <c r="C554" s="405" t="s">
        <v>2929</v>
      </c>
      <c r="D554" s="561" t="s">
        <v>6343</v>
      </c>
      <c r="E554" s="600">
        <v>300000</v>
      </c>
      <c r="F554" s="561" t="s">
        <v>3231</v>
      </c>
      <c r="G554" s="571" t="s">
        <v>2997</v>
      </c>
      <c r="H554" s="571" t="s">
        <v>20</v>
      </c>
      <c r="I554" s="571" t="s">
        <v>2997</v>
      </c>
      <c r="J554" s="571">
        <v>44021</v>
      </c>
      <c r="K554" s="574" t="s">
        <v>3803</v>
      </c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70"/>
      <c r="AH554" s="570"/>
      <c r="AI554" s="570"/>
      <c r="AJ554" s="570"/>
      <c r="AK554" s="570"/>
      <c r="AL554" s="570"/>
      <c r="AM554" s="570"/>
      <c r="AN554" s="570"/>
      <c r="AO554" s="570"/>
      <c r="AP554" s="570"/>
      <c r="AQ554" s="570"/>
      <c r="AR554" s="570"/>
      <c r="AS554" s="570"/>
      <c r="AT554" s="570"/>
      <c r="AU554" s="570"/>
    </row>
    <row r="555" spans="1:47" ht="15.75" customHeight="1">
      <c r="A555" s="571">
        <v>44453</v>
      </c>
      <c r="B555" s="572" t="s">
        <v>6560</v>
      </c>
      <c r="C555" s="561" t="s">
        <v>3793</v>
      </c>
      <c r="D555" s="561" t="s">
        <v>956</v>
      </c>
      <c r="E555" s="573">
        <v>0</v>
      </c>
      <c r="F555" s="561" t="s">
        <v>4265</v>
      </c>
      <c r="G555" s="561" t="s">
        <v>19</v>
      </c>
      <c r="H555" s="561" t="s">
        <v>20</v>
      </c>
      <c r="I555" s="561" t="s">
        <v>3801</v>
      </c>
      <c r="J555" s="571">
        <v>44202</v>
      </c>
      <c r="K555" s="577" t="s">
        <v>3803</v>
      </c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70"/>
      <c r="AH555" s="570"/>
      <c r="AI555" s="570"/>
      <c r="AJ555" s="570"/>
      <c r="AK555" s="570"/>
      <c r="AL555" s="570"/>
      <c r="AM555" s="570"/>
      <c r="AN555" s="570"/>
      <c r="AO555" s="570"/>
      <c r="AP555" s="570"/>
      <c r="AQ555" s="570"/>
      <c r="AR555" s="570"/>
      <c r="AS555" s="570"/>
      <c r="AT555" s="570"/>
      <c r="AU555" s="570"/>
    </row>
    <row r="556" spans="1:47" ht="15.75" customHeight="1">
      <c r="A556" s="575">
        <v>44455</v>
      </c>
      <c r="B556" s="572" t="s">
        <v>6561</v>
      </c>
      <c r="C556" s="405" t="s">
        <v>3793</v>
      </c>
      <c r="D556" s="561" t="s">
        <v>6343</v>
      </c>
      <c r="E556" s="600">
        <v>135728.28</v>
      </c>
      <c r="F556" s="561" t="s">
        <v>4017</v>
      </c>
      <c r="G556" s="561" t="s">
        <v>19</v>
      </c>
      <c r="H556" s="561" t="s">
        <v>66</v>
      </c>
      <c r="I556" s="561" t="s">
        <v>316</v>
      </c>
      <c r="J556" s="571">
        <v>44204</v>
      </c>
      <c r="K556" s="577" t="s">
        <v>3803</v>
      </c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70"/>
      <c r="AH556" s="570"/>
      <c r="AI556" s="570"/>
      <c r="AJ556" s="570"/>
      <c r="AK556" s="570"/>
      <c r="AL556" s="570"/>
      <c r="AM556" s="570"/>
      <c r="AN556" s="570"/>
      <c r="AO556" s="570"/>
      <c r="AP556" s="570"/>
      <c r="AQ556" s="570"/>
      <c r="AR556" s="570"/>
      <c r="AS556" s="570"/>
      <c r="AT556" s="570"/>
      <c r="AU556" s="570"/>
    </row>
    <row r="557" spans="1:47" ht="15.75" customHeight="1">
      <c r="A557" s="571">
        <v>44455</v>
      </c>
      <c r="B557" s="572" t="s">
        <v>6562</v>
      </c>
      <c r="C557" s="561" t="s">
        <v>2929</v>
      </c>
      <c r="D557" s="561" t="s">
        <v>956</v>
      </c>
      <c r="E557" s="579">
        <v>107666.91</v>
      </c>
      <c r="F557" s="561" t="s">
        <v>3557</v>
      </c>
      <c r="G557" s="571" t="s">
        <v>2931</v>
      </c>
      <c r="H557" s="571" t="s">
        <v>20</v>
      </c>
      <c r="I557" s="571" t="s">
        <v>2932</v>
      </c>
      <c r="J557" s="571">
        <v>43843</v>
      </c>
      <c r="K557" s="574" t="s">
        <v>3813</v>
      </c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70"/>
      <c r="AH557" s="570"/>
      <c r="AI557" s="570"/>
      <c r="AJ557" s="570"/>
      <c r="AK557" s="570"/>
      <c r="AL557" s="570"/>
      <c r="AM557" s="570"/>
      <c r="AN557" s="570"/>
      <c r="AO557" s="570"/>
      <c r="AP557" s="570"/>
      <c r="AQ557" s="570"/>
      <c r="AR557" s="570"/>
      <c r="AS557" s="570"/>
      <c r="AT557" s="570"/>
      <c r="AU557" s="570"/>
    </row>
    <row r="558" spans="1:47" ht="15.75" customHeight="1">
      <c r="A558" s="571">
        <v>44455</v>
      </c>
      <c r="B558" s="576" t="s">
        <v>6563</v>
      </c>
      <c r="C558" s="561" t="s">
        <v>3793</v>
      </c>
      <c r="D558" s="561" t="s">
        <v>956</v>
      </c>
      <c r="E558" s="573">
        <v>0</v>
      </c>
      <c r="F558" s="561" t="s">
        <v>4789</v>
      </c>
      <c r="G558" s="561" t="s">
        <v>19</v>
      </c>
      <c r="H558" s="561" t="s">
        <v>20</v>
      </c>
      <c r="I558" s="561" t="s">
        <v>3801</v>
      </c>
      <c r="J558" s="571">
        <v>44384</v>
      </c>
      <c r="K558" s="577" t="s">
        <v>3810</v>
      </c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70"/>
      <c r="AH558" s="570"/>
      <c r="AI558" s="570"/>
      <c r="AJ558" s="570"/>
      <c r="AK558" s="570"/>
      <c r="AL558" s="570"/>
      <c r="AM558" s="570"/>
      <c r="AN558" s="570"/>
      <c r="AO558" s="570"/>
      <c r="AP558" s="570"/>
      <c r="AQ558" s="570"/>
      <c r="AR558" s="570"/>
      <c r="AS558" s="570"/>
      <c r="AT558" s="570"/>
      <c r="AU558" s="570"/>
    </row>
    <row r="559" spans="1:47" ht="15.75" customHeight="1">
      <c r="A559" s="575">
        <v>44456</v>
      </c>
      <c r="B559" s="576" t="s">
        <v>6349</v>
      </c>
      <c r="C559" s="405" t="s">
        <v>2929</v>
      </c>
      <c r="D559" s="561" t="s">
        <v>6343</v>
      </c>
      <c r="E559" s="600">
        <v>7500</v>
      </c>
      <c r="F559" s="561" t="s">
        <v>3198</v>
      </c>
      <c r="G559" s="571" t="s">
        <v>2931</v>
      </c>
      <c r="H559" s="571" t="s">
        <v>20</v>
      </c>
      <c r="I559" s="571" t="s">
        <v>2932</v>
      </c>
      <c r="J559" s="571">
        <v>43703</v>
      </c>
      <c r="K559" s="574" t="s">
        <v>4196</v>
      </c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70"/>
      <c r="AH559" s="570"/>
      <c r="AI559" s="570"/>
      <c r="AJ559" s="570"/>
      <c r="AK559" s="570"/>
      <c r="AL559" s="570"/>
      <c r="AM559" s="570"/>
      <c r="AN559" s="570"/>
      <c r="AO559" s="570"/>
      <c r="AP559" s="570"/>
      <c r="AQ559" s="570"/>
      <c r="AR559" s="570"/>
      <c r="AS559" s="570"/>
      <c r="AT559" s="570"/>
      <c r="AU559" s="570"/>
    </row>
    <row r="560" spans="1:47" ht="15.75" customHeight="1">
      <c r="A560" s="571">
        <v>44456</v>
      </c>
      <c r="B560" s="572" t="s">
        <v>6564</v>
      </c>
      <c r="C560" s="561" t="s">
        <v>3793</v>
      </c>
      <c r="D560" s="561" t="s">
        <v>956</v>
      </c>
      <c r="E560" s="573">
        <v>0</v>
      </c>
      <c r="F560" s="561" t="s">
        <v>3800</v>
      </c>
      <c r="G560" s="561" t="s">
        <v>19</v>
      </c>
      <c r="H560" s="561" t="s">
        <v>20</v>
      </c>
      <c r="I560" s="561" t="s">
        <v>3801</v>
      </c>
      <c r="J560" s="571">
        <v>44186</v>
      </c>
      <c r="K560" s="577" t="s">
        <v>3803</v>
      </c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70"/>
      <c r="AH560" s="570"/>
      <c r="AI560" s="570"/>
      <c r="AJ560" s="570"/>
      <c r="AK560" s="570"/>
      <c r="AL560" s="570"/>
      <c r="AM560" s="570"/>
      <c r="AN560" s="570"/>
      <c r="AO560" s="570"/>
      <c r="AP560" s="570"/>
      <c r="AQ560" s="570"/>
      <c r="AR560" s="570"/>
      <c r="AS560" s="570"/>
      <c r="AT560" s="570"/>
      <c r="AU560" s="570"/>
    </row>
    <row r="561" spans="1:47" ht="15.75" customHeight="1">
      <c r="A561" s="571">
        <v>44456</v>
      </c>
      <c r="B561" s="572" t="s">
        <v>6565</v>
      </c>
      <c r="C561" s="561" t="s">
        <v>3793</v>
      </c>
      <c r="D561" s="561" t="s">
        <v>956</v>
      </c>
      <c r="E561" s="573">
        <v>0</v>
      </c>
      <c r="F561" s="561" t="s">
        <v>4620</v>
      </c>
      <c r="G561" s="561" t="s">
        <v>19</v>
      </c>
      <c r="H561" s="561" t="s">
        <v>20</v>
      </c>
      <c r="I561" s="561" t="s">
        <v>3801</v>
      </c>
      <c r="J561" s="571">
        <v>44456</v>
      </c>
      <c r="K561" s="577" t="s">
        <v>3850</v>
      </c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70"/>
      <c r="AH561" s="570"/>
      <c r="AI561" s="570"/>
      <c r="AJ561" s="570"/>
      <c r="AK561" s="570"/>
      <c r="AL561" s="570"/>
      <c r="AM561" s="570"/>
      <c r="AN561" s="570"/>
      <c r="AO561" s="570"/>
      <c r="AP561" s="570"/>
      <c r="AQ561" s="570"/>
      <c r="AR561" s="570"/>
      <c r="AS561" s="570"/>
      <c r="AT561" s="570"/>
      <c r="AU561" s="570"/>
    </row>
    <row r="562" spans="1:47" ht="15.75" customHeight="1">
      <c r="A562" s="575">
        <v>44459</v>
      </c>
      <c r="B562" s="576" t="s">
        <v>6495</v>
      </c>
      <c r="C562" s="405" t="s">
        <v>2929</v>
      </c>
      <c r="D562" s="561" t="s">
        <v>6343</v>
      </c>
      <c r="E562" s="585">
        <v>159337.69</v>
      </c>
      <c r="F562" s="561" t="s">
        <v>1384</v>
      </c>
      <c r="G562" s="571" t="s">
        <v>19</v>
      </c>
      <c r="H562" s="571" t="s">
        <v>35</v>
      </c>
      <c r="I562" s="571" t="s">
        <v>199</v>
      </c>
      <c r="J562" s="571">
        <v>44280</v>
      </c>
      <c r="K562" s="574" t="s">
        <v>3810</v>
      </c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70"/>
      <c r="AH562" s="570"/>
      <c r="AI562" s="570"/>
      <c r="AJ562" s="570"/>
      <c r="AK562" s="570"/>
      <c r="AL562" s="570"/>
      <c r="AM562" s="570"/>
      <c r="AN562" s="570"/>
      <c r="AO562" s="570"/>
      <c r="AP562" s="570"/>
      <c r="AQ562" s="570"/>
      <c r="AR562" s="570"/>
      <c r="AS562" s="570"/>
      <c r="AT562" s="570"/>
      <c r="AU562" s="570"/>
    </row>
    <row r="563" spans="1:47" ht="15.75" customHeight="1">
      <c r="A563" s="575">
        <v>44459</v>
      </c>
      <c r="B563" s="576" t="s">
        <v>6566</v>
      </c>
      <c r="C563" s="405" t="s">
        <v>2929</v>
      </c>
      <c r="D563" s="561" t="s">
        <v>6343</v>
      </c>
      <c r="E563" s="600">
        <v>20000</v>
      </c>
      <c r="F563" s="561" t="s">
        <v>3193</v>
      </c>
      <c r="G563" s="571" t="s">
        <v>19</v>
      </c>
      <c r="H563" s="571" t="s">
        <v>35</v>
      </c>
      <c r="I563" s="571" t="s">
        <v>250</v>
      </c>
      <c r="J563" s="571">
        <v>44319</v>
      </c>
      <c r="K563" s="574" t="s">
        <v>3797</v>
      </c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70"/>
      <c r="AH563" s="570"/>
      <c r="AI563" s="570"/>
      <c r="AJ563" s="570"/>
      <c r="AK563" s="570"/>
      <c r="AL563" s="570"/>
      <c r="AM563" s="570"/>
      <c r="AN563" s="570"/>
      <c r="AO563" s="570"/>
      <c r="AP563" s="570"/>
      <c r="AQ563" s="570"/>
      <c r="AR563" s="570"/>
      <c r="AS563" s="570"/>
      <c r="AT563" s="570"/>
      <c r="AU563" s="570"/>
    </row>
    <row r="564" spans="1:47" ht="15.75" customHeight="1">
      <c r="A564" s="575">
        <v>44459</v>
      </c>
      <c r="B564" s="576" t="s">
        <v>6480</v>
      </c>
      <c r="C564" s="405" t="s">
        <v>2929</v>
      </c>
      <c r="D564" s="561" t="s">
        <v>6343</v>
      </c>
      <c r="E564" s="600">
        <v>271802.71999999997</v>
      </c>
      <c r="F564" s="561" t="s">
        <v>3088</v>
      </c>
      <c r="G564" s="571" t="s">
        <v>19</v>
      </c>
      <c r="H564" s="571" t="s">
        <v>35</v>
      </c>
      <c r="I564" s="571" t="s">
        <v>199</v>
      </c>
      <c r="J564" s="571">
        <v>44328</v>
      </c>
      <c r="K564" s="574" t="s">
        <v>3803</v>
      </c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70"/>
      <c r="AH564" s="570"/>
      <c r="AI564" s="570"/>
      <c r="AJ564" s="570"/>
      <c r="AK564" s="570"/>
      <c r="AL564" s="570"/>
      <c r="AM564" s="570"/>
      <c r="AN564" s="570"/>
      <c r="AO564" s="570"/>
      <c r="AP564" s="570"/>
      <c r="AQ564" s="570"/>
      <c r="AR564" s="570"/>
      <c r="AS564" s="570"/>
      <c r="AT564" s="570"/>
      <c r="AU564" s="570"/>
    </row>
    <row r="565" spans="1:47" ht="15.75" customHeight="1">
      <c r="A565" s="571">
        <v>44459</v>
      </c>
      <c r="B565" s="576" t="s">
        <v>6515</v>
      </c>
      <c r="C565" s="561" t="s">
        <v>3793</v>
      </c>
      <c r="D565" s="561" t="s">
        <v>956</v>
      </c>
      <c r="E565" s="573">
        <v>0</v>
      </c>
      <c r="F565" s="561" t="s">
        <v>4359</v>
      </c>
      <c r="G565" s="561" t="s">
        <v>19</v>
      </c>
      <c r="H565" s="561" t="s">
        <v>20</v>
      </c>
      <c r="I565" s="561" t="s">
        <v>3689</v>
      </c>
      <c r="J565" s="571"/>
      <c r="K565" s="577" t="s">
        <v>3817</v>
      </c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70"/>
      <c r="AH565" s="570"/>
      <c r="AI565" s="570"/>
      <c r="AJ565" s="570"/>
      <c r="AK565" s="570"/>
      <c r="AL565" s="570"/>
      <c r="AM565" s="570"/>
      <c r="AN565" s="570"/>
      <c r="AO565" s="570"/>
      <c r="AP565" s="570"/>
      <c r="AQ565" s="570"/>
      <c r="AR565" s="570"/>
      <c r="AS565" s="570"/>
      <c r="AT565" s="570"/>
      <c r="AU565" s="570"/>
    </row>
    <row r="566" spans="1:47" ht="15.75" customHeight="1">
      <c r="A566" s="575">
        <v>44460</v>
      </c>
      <c r="B566" s="576" t="s">
        <v>6553</v>
      </c>
      <c r="C566" s="405" t="s">
        <v>2929</v>
      </c>
      <c r="D566" s="561" t="s">
        <v>6343</v>
      </c>
      <c r="E566" s="600">
        <v>100000</v>
      </c>
      <c r="F566" s="561" t="s">
        <v>306</v>
      </c>
      <c r="G566" s="571" t="s">
        <v>19</v>
      </c>
      <c r="H566" s="571" t="s">
        <v>35</v>
      </c>
      <c r="I566" s="571" t="s">
        <v>199</v>
      </c>
      <c r="J566" s="571">
        <v>44266</v>
      </c>
      <c r="K566" s="574" t="s">
        <v>3797</v>
      </c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70"/>
      <c r="AH566" s="570"/>
      <c r="AI566" s="570"/>
      <c r="AJ566" s="570"/>
      <c r="AK566" s="570"/>
      <c r="AL566" s="570"/>
      <c r="AM566" s="570"/>
      <c r="AN566" s="570"/>
      <c r="AO566" s="570"/>
      <c r="AP566" s="570"/>
      <c r="AQ566" s="570"/>
      <c r="AR566" s="570"/>
      <c r="AS566" s="570"/>
      <c r="AT566" s="570"/>
      <c r="AU566" s="570"/>
    </row>
    <row r="567" spans="1:47" ht="15.75" customHeight="1">
      <c r="A567" s="575">
        <v>44460</v>
      </c>
      <c r="B567" s="572" t="s">
        <v>6567</v>
      </c>
      <c r="C567" s="405" t="s">
        <v>3793</v>
      </c>
      <c r="D567" s="561" t="s">
        <v>921</v>
      </c>
      <c r="E567" s="573">
        <v>157308.25</v>
      </c>
      <c r="F567" s="561" t="s">
        <v>5085</v>
      </c>
      <c r="G567" s="561" t="s">
        <v>2931</v>
      </c>
      <c r="H567" s="561" t="s">
        <v>20</v>
      </c>
      <c r="I567" s="561" t="s">
        <v>2931</v>
      </c>
      <c r="J567" s="571">
        <v>44250</v>
      </c>
      <c r="K567" s="577" t="s">
        <v>3803</v>
      </c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70"/>
      <c r="AH567" s="570"/>
      <c r="AI567" s="570"/>
      <c r="AJ567" s="570"/>
      <c r="AK567" s="570"/>
      <c r="AL567" s="570"/>
      <c r="AM567" s="570"/>
      <c r="AN567" s="570"/>
      <c r="AO567" s="570"/>
      <c r="AP567" s="570"/>
      <c r="AQ567" s="570"/>
      <c r="AR567" s="570"/>
      <c r="AS567" s="570"/>
      <c r="AT567" s="570"/>
      <c r="AU567" s="570"/>
    </row>
    <row r="568" spans="1:47" ht="15.75" customHeight="1">
      <c r="A568" s="571">
        <v>44460</v>
      </c>
      <c r="B568" s="572" t="s">
        <v>6568</v>
      </c>
      <c r="C568" s="561" t="s">
        <v>3793</v>
      </c>
      <c r="D568" s="561" t="s">
        <v>956</v>
      </c>
      <c r="E568" s="573">
        <v>0</v>
      </c>
      <c r="F568" s="561" t="s">
        <v>5371</v>
      </c>
      <c r="G568" s="561" t="s">
        <v>19</v>
      </c>
      <c r="H568" s="561" t="s">
        <v>20</v>
      </c>
      <c r="I568" s="561" t="s">
        <v>3801</v>
      </c>
      <c r="J568" s="571">
        <v>44088</v>
      </c>
      <c r="K568" s="577" t="s">
        <v>3817</v>
      </c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70"/>
      <c r="AH568" s="570"/>
      <c r="AI568" s="570"/>
      <c r="AJ568" s="570"/>
      <c r="AK568" s="570"/>
      <c r="AL568" s="570"/>
      <c r="AM568" s="570"/>
      <c r="AN568" s="570"/>
      <c r="AO568" s="570"/>
      <c r="AP568" s="570"/>
      <c r="AQ568" s="570"/>
      <c r="AR568" s="570"/>
      <c r="AS568" s="570"/>
      <c r="AT568" s="570"/>
      <c r="AU568" s="570"/>
    </row>
    <row r="569" spans="1:47" ht="15.75" customHeight="1">
      <c r="A569" s="575">
        <v>44461</v>
      </c>
      <c r="B569" s="576" t="s">
        <v>3629</v>
      </c>
      <c r="C569" s="405" t="s">
        <v>3613</v>
      </c>
      <c r="D569" s="561" t="s">
        <v>6343</v>
      </c>
      <c r="E569" s="600">
        <v>50000</v>
      </c>
      <c r="F569" s="561" t="s">
        <v>499</v>
      </c>
      <c r="G569" s="571" t="s">
        <v>19</v>
      </c>
      <c r="H569" s="571" t="s">
        <v>20</v>
      </c>
      <c r="I569" s="571" t="s">
        <v>3080</v>
      </c>
      <c r="J569" s="571">
        <v>43934</v>
      </c>
      <c r="K569" s="574" t="s">
        <v>3797</v>
      </c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</row>
    <row r="570" spans="1:47" ht="15.75" customHeight="1">
      <c r="A570" s="575">
        <v>44461</v>
      </c>
      <c r="B570" s="576" t="s">
        <v>6569</v>
      </c>
      <c r="C570" s="405" t="s">
        <v>2929</v>
      </c>
      <c r="D570" s="561" t="s">
        <v>6343</v>
      </c>
      <c r="E570" s="600">
        <v>30000</v>
      </c>
      <c r="F570" s="561" t="s">
        <v>3238</v>
      </c>
      <c r="G570" s="571" t="s">
        <v>19</v>
      </c>
      <c r="H570" s="571" t="s">
        <v>35</v>
      </c>
      <c r="I570" s="571" t="s">
        <v>199</v>
      </c>
      <c r="J570" s="571">
        <v>44319</v>
      </c>
      <c r="K570" s="574" t="s">
        <v>3803</v>
      </c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70"/>
      <c r="AH570" s="570"/>
      <c r="AI570" s="570"/>
      <c r="AJ570" s="570"/>
      <c r="AK570" s="570"/>
      <c r="AL570" s="570"/>
      <c r="AM570" s="570"/>
      <c r="AN570" s="570"/>
      <c r="AO570" s="570"/>
      <c r="AP570" s="570"/>
      <c r="AQ570" s="570"/>
      <c r="AR570" s="570"/>
      <c r="AS570" s="570"/>
      <c r="AT570" s="570"/>
      <c r="AU570" s="570"/>
    </row>
    <row r="571" spans="1:47" ht="15.75" customHeight="1">
      <c r="A571" s="575">
        <v>44462</v>
      </c>
      <c r="B571" s="572" t="s">
        <v>6444</v>
      </c>
      <c r="C571" s="405" t="s">
        <v>3793</v>
      </c>
      <c r="D571" s="561" t="s">
        <v>6343</v>
      </c>
      <c r="E571" s="600">
        <v>20000</v>
      </c>
      <c r="F571" s="561" t="s">
        <v>5095</v>
      </c>
      <c r="G571" s="561" t="s">
        <v>46</v>
      </c>
      <c r="H571" s="561" t="s">
        <v>20</v>
      </c>
      <c r="I571" s="561" t="s">
        <v>4480</v>
      </c>
      <c r="J571" s="571">
        <v>44180</v>
      </c>
      <c r="K571" s="577" t="s">
        <v>3803</v>
      </c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70"/>
      <c r="AH571" s="570"/>
      <c r="AI571" s="570"/>
      <c r="AJ571" s="570"/>
      <c r="AK571" s="570"/>
      <c r="AL571" s="570"/>
      <c r="AM571" s="570"/>
      <c r="AN571" s="570"/>
      <c r="AO571" s="570"/>
      <c r="AP571" s="570"/>
      <c r="AQ571" s="570"/>
      <c r="AR571" s="570"/>
      <c r="AS571" s="570"/>
      <c r="AT571" s="570"/>
      <c r="AU571" s="570"/>
    </row>
    <row r="572" spans="1:47" ht="15.75" customHeight="1">
      <c r="A572" s="575">
        <v>44462</v>
      </c>
      <c r="B572" s="572" t="s">
        <v>6570</v>
      </c>
      <c r="C572" s="405" t="s">
        <v>2929</v>
      </c>
      <c r="D572" s="561" t="s">
        <v>921</v>
      </c>
      <c r="E572" s="600">
        <v>1421504</v>
      </c>
      <c r="F572" s="561" t="s">
        <v>3013</v>
      </c>
      <c r="G572" s="571" t="s">
        <v>19</v>
      </c>
      <c r="H572" s="571" t="s">
        <v>35</v>
      </c>
      <c r="I572" s="571" t="s">
        <v>199</v>
      </c>
      <c r="J572" s="571">
        <v>44280</v>
      </c>
      <c r="K572" s="574" t="s">
        <v>3817</v>
      </c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70"/>
      <c r="AH572" s="570"/>
      <c r="AI572" s="570"/>
      <c r="AJ572" s="570"/>
      <c r="AK572" s="570"/>
      <c r="AL572" s="570"/>
      <c r="AM572" s="570"/>
      <c r="AN572" s="570"/>
      <c r="AO572" s="570"/>
      <c r="AP572" s="570"/>
      <c r="AQ572" s="570"/>
      <c r="AR572" s="570"/>
      <c r="AS572" s="570"/>
      <c r="AT572" s="570"/>
      <c r="AU572" s="570"/>
    </row>
    <row r="573" spans="1:47" ht="15.75" customHeight="1">
      <c r="A573" s="575">
        <v>44463</v>
      </c>
      <c r="B573" s="601" t="s">
        <v>6571</v>
      </c>
      <c r="C573" s="405" t="s">
        <v>2929</v>
      </c>
      <c r="D573" s="561" t="s">
        <v>6343</v>
      </c>
      <c r="E573" s="600">
        <v>8000</v>
      </c>
      <c r="F573" s="561" t="s">
        <v>3198</v>
      </c>
      <c r="G573" s="571" t="s">
        <v>2931</v>
      </c>
      <c r="H573" s="571" t="s">
        <v>20</v>
      </c>
      <c r="I573" s="571" t="s">
        <v>2932</v>
      </c>
      <c r="J573" s="571">
        <v>43704</v>
      </c>
      <c r="K573" s="574" t="s">
        <v>3813</v>
      </c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70"/>
      <c r="AH573" s="570"/>
      <c r="AI573" s="570"/>
      <c r="AJ573" s="570"/>
      <c r="AK573" s="570"/>
      <c r="AL573" s="570"/>
      <c r="AM573" s="570"/>
      <c r="AN573" s="570"/>
      <c r="AO573" s="570"/>
      <c r="AP573" s="570"/>
      <c r="AQ573" s="570"/>
      <c r="AR573" s="570"/>
      <c r="AS573" s="570"/>
      <c r="AT573" s="570"/>
      <c r="AU573" s="570"/>
    </row>
    <row r="574" spans="1:47" ht="15.75" customHeight="1">
      <c r="A574" s="575">
        <v>44463</v>
      </c>
      <c r="B574" s="601" t="s">
        <v>6475</v>
      </c>
      <c r="C574" s="405" t="s">
        <v>2929</v>
      </c>
      <c r="D574" s="561" t="s">
        <v>6343</v>
      </c>
      <c r="E574" s="600">
        <v>20000</v>
      </c>
      <c r="F574" s="561" t="s">
        <v>3339</v>
      </c>
      <c r="G574" s="571" t="s">
        <v>19</v>
      </c>
      <c r="H574" s="571" t="s">
        <v>35</v>
      </c>
      <c r="I574" s="571" t="s">
        <v>250</v>
      </c>
      <c r="J574" s="571">
        <v>44322</v>
      </c>
      <c r="K574" s="574" t="s">
        <v>3803</v>
      </c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70"/>
      <c r="AH574" s="570"/>
      <c r="AI574" s="570"/>
      <c r="AJ574" s="570"/>
      <c r="AK574" s="570"/>
      <c r="AL574" s="570"/>
      <c r="AM574" s="570"/>
      <c r="AN574" s="570"/>
      <c r="AO574" s="570"/>
      <c r="AP574" s="570"/>
      <c r="AQ574" s="570"/>
      <c r="AR574" s="570"/>
      <c r="AS574" s="570"/>
      <c r="AT574" s="570"/>
      <c r="AU574" s="570"/>
    </row>
    <row r="575" spans="1:47" ht="15.75" customHeight="1">
      <c r="A575" s="575">
        <v>44463</v>
      </c>
      <c r="B575" s="576" t="s">
        <v>6553</v>
      </c>
      <c r="C575" s="405" t="s">
        <v>2929</v>
      </c>
      <c r="D575" s="561" t="s">
        <v>6343</v>
      </c>
      <c r="E575" s="600">
        <v>300000</v>
      </c>
      <c r="F575" s="561" t="s">
        <v>306</v>
      </c>
      <c r="G575" s="571" t="s">
        <v>19</v>
      </c>
      <c r="H575" s="571" t="s">
        <v>35</v>
      </c>
      <c r="I575" s="571" t="s">
        <v>199</v>
      </c>
      <c r="J575" s="571">
        <v>44266</v>
      </c>
      <c r="K575" s="574" t="s">
        <v>3797</v>
      </c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70"/>
      <c r="AH575" s="570"/>
      <c r="AI575" s="570"/>
      <c r="AJ575" s="570"/>
      <c r="AK575" s="570"/>
      <c r="AL575" s="570"/>
      <c r="AM575" s="570"/>
      <c r="AN575" s="570"/>
      <c r="AO575" s="570"/>
      <c r="AP575" s="570"/>
      <c r="AQ575" s="570"/>
      <c r="AR575" s="570"/>
      <c r="AS575" s="570"/>
      <c r="AT575" s="570"/>
      <c r="AU575" s="570"/>
    </row>
    <row r="576" spans="1:47" ht="15.75" customHeight="1">
      <c r="A576" s="575">
        <v>44466</v>
      </c>
      <c r="B576" s="601" t="s">
        <v>6477</v>
      </c>
      <c r="C576" s="405" t="s">
        <v>2929</v>
      </c>
      <c r="D576" s="561" t="s">
        <v>6343</v>
      </c>
      <c r="E576" s="600">
        <v>10000</v>
      </c>
      <c r="F576" s="561" t="s">
        <v>3472</v>
      </c>
      <c r="G576" s="571" t="s">
        <v>19</v>
      </c>
      <c r="H576" s="571" t="s">
        <v>35</v>
      </c>
      <c r="I576" s="571" t="s">
        <v>250</v>
      </c>
      <c r="J576" s="571">
        <v>44319</v>
      </c>
      <c r="K576" s="574" t="s">
        <v>3803</v>
      </c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70"/>
      <c r="AH576" s="570"/>
      <c r="AI576" s="570"/>
      <c r="AJ576" s="570"/>
      <c r="AK576" s="570"/>
      <c r="AL576" s="570"/>
      <c r="AM576" s="570"/>
      <c r="AN576" s="570"/>
      <c r="AO576" s="570"/>
      <c r="AP576" s="570"/>
      <c r="AQ576" s="570"/>
      <c r="AR576" s="570"/>
      <c r="AS576" s="570"/>
      <c r="AT576" s="570"/>
      <c r="AU576" s="570"/>
    </row>
    <row r="577" spans="1:47" ht="15.75" customHeight="1">
      <c r="A577" s="575">
        <v>44466</v>
      </c>
      <c r="B577" s="572" t="s">
        <v>6351</v>
      </c>
      <c r="C577" s="405" t="s">
        <v>2929</v>
      </c>
      <c r="D577" s="561" t="s">
        <v>6343</v>
      </c>
      <c r="E577" s="600">
        <v>12000</v>
      </c>
      <c r="F577" s="561" t="s">
        <v>3235</v>
      </c>
      <c r="G577" s="571" t="s">
        <v>2931</v>
      </c>
      <c r="H577" s="571" t="s">
        <v>20</v>
      </c>
      <c r="I577" s="571" t="s">
        <v>2932</v>
      </c>
      <c r="J577" s="571">
        <v>43605</v>
      </c>
      <c r="K577" s="574" t="s">
        <v>3813</v>
      </c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70"/>
      <c r="AH577" s="570"/>
      <c r="AI577" s="570"/>
      <c r="AJ577" s="570"/>
      <c r="AK577" s="570"/>
      <c r="AL577" s="570"/>
      <c r="AM577" s="570"/>
      <c r="AN577" s="570"/>
      <c r="AO577" s="570"/>
      <c r="AP577" s="570"/>
      <c r="AQ577" s="570"/>
      <c r="AR577" s="570"/>
      <c r="AS577" s="570"/>
      <c r="AT577" s="570"/>
      <c r="AU577" s="570"/>
    </row>
    <row r="578" spans="1:47" ht="15.75" customHeight="1">
      <c r="A578" s="575">
        <v>44466</v>
      </c>
      <c r="B578" s="601" t="s">
        <v>6572</v>
      </c>
      <c r="C578" s="405" t="s">
        <v>2929</v>
      </c>
      <c r="D578" s="561" t="s">
        <v>6343</v>
      </c>
      <c r="E578" s="600">
        <v>100000</v>
      </c>
      <c r="F578" s="561" t="s">
        <v>828</v>
      </c>
      <c r="G578" s="571" t="s">
        <v>19</v>
      </c>
      <c r="H578" s="571" t="s">
        <v>35</v>
      </c>
      <c r="I578" s="571" t="s">
        <v>2979</v>
      </c>
      <c r="J578" s="571">
        <v>44299</v>
      </c>
      <c r="K578" s="574" t="s">
        <v>3803</v>
      </c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70"/>
      <c r="AH578" s="570"/>
      <c r="AI578" s="570"/>
      <c r="AJ578" s="570"/>
      <c r="AK578" s="570"/>
      <c r="AL578" s="570"/>
      <c r="AM578" s="570"/>
      <c r="AN578" s="570"/>
      <c r="AO578" s="570"/>
      <c r="AP578" s="570"/>
      <c r="AQ578" s="570"/>
      <c r="AR578" s="570"/>
      <c r="AS578" s="570"/>
      <c r="AT578" s="570"/>
      <c r="AU578" s="570"/>
    </row>
    <row r="579" spans="1:47" ht="15.75" customHeight="1">
      <c r="A579" s="571">
        <v>44467</v>
      </c>
      <c r="B579" s="576" t="s">
        <v>6573</v>
      </c>
      <c r="C579" s="561" t="s">
        <v>3793</v>
      </c>
      <c r="D579" s="561" t="s">
        <v>956</v>
      </c>
      <c r="E579" s="573">
        <v>0</v>
      </c>
      <c r="F579" s="561" t="s">
        <v>4704</v>
      </c>
      <c r="G579" s="561" t="s">
        <v>46</v>
      </c>
      <c r="H579" s="561" t="s">
        <v>20</v>
      </c>
      <c r="I579" s="561" t="s">
        <v>6431</v>
      </c>
      <c r="J579" s="571">
        <v>44917</v>
      </c>
      <c r="K579" s="577" t="s">
        <v>3797</v>
      </c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70"/>
      <c r="AH579" s="570"/>
      <c r="AI579" s="570"/>
      <c r="AJ579" s="570"/>
      <c r="AK579" s="570"/>
      <c r="AL579" s="570"/>
      <c r="AM579" s="570"/>
      <c r="AN579" s="570"/>
      <c r="AO579" s="570"/>
      <c r="AP579" s="570"/>
      <c r="AQ579" s="570"/>
      <c r="AR579" s="570"/>
      <c r="AS579" s="570"/>
      <c r="AT579" s="570"/>
      <c r="AU579" s="570"/>
    </row>
    <row r="580" spans="1:47" ht="15.75" customHeight="1">
      <c r="A580" s="575">
        <v>44468</v>
      </c>
      <c r="B580" s="601" t="s">
        <v>6574</v>
      </c>
      <c r="C580" s="405" t="s">
        <v>2929</v>
      </c>
      <c r="D580" s="561" t="s">
        <v>6343</v>
      </c>
      <c r="E580" s="600" t="s">
        <v>6575</v>
      </c>
      <c r="F580" s="561" t="s">
        <v>3403</v>
      </c>
      <c r="G580" s="571" t="s">
        <v>19</v>
      </c>
      <c r="H580" s="571" t="s">
        <v>35</v>
      </c>
      <c r="I580" s="571" t="s">
        <v>250</v>
      </c>
      <c r="J580" s="571">
        <v>44391</v>
      </c>
      <c r="K580" s="574" t="s">
        <v>3803</v>
      </c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70"/>
      <c r="AH580" s="570"/>
      <c r="AI580" s="570"/>
      <c r="AJ580" s="570"/>
      <c r="AK580" s="570"/>
      <c r="AL580" s="570"/>
      <c r="AM580" s="570"/>
      <c r="AN580" s="570"/>
      <c r="AO580" s="570"/>
      <c r="AP580" s="570"/>
      <c r="AQ580" s="570"/>
      <c r="AR580" s="570"/>
      <c r="AS580" s="570"/>
      <c r="AT580" s="570"/>
      <c r="AU580" s="570"/>
    </row>
    <row r="581" spans="1:47" ht="15.75" customHeight="1">
      <c r="A581" s="575">
        <v>44468</v>
      </c>
      <c r="B581" s="601" t="s">
        <v>6487</v>
      </c>
      <c r="C581" s="405" t="s">
        <v>2929</v>
      </c>
      <c r="D581" s="561" t="s">
        <v>6343</v>
      </c>
      <c r="E581" s="600">
        <v>30000</v>
      </c>
      <c r="F581" s="561" t="s">
        <v>1318</v>
      </c>
      <c r="G581" s="571" t="s">
        <v>19</v>
      </c>
      <c r="H581" s="571" t="s">
        <v>35</v>
      </c>
      <c r="I581" s="571" t="s">
        <v>199</v>
      </c>
      <c r="J581" s="571">
        <v>44319</v>
      </c>
      <c r="K581" s="574" t="s">
        <v>3803</v>
      </c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70"/>
      <c r="AH581" s="570"/>
      <c r="AI581" s="570"/>
      <c r="AJ581" s="570"/>
      <c r="AK581" s="570"/>
      <c r="AL581" s="570"/>
      <c r="AM581" s="570"/>
      <c r="AN581" s="570"/>
      <c r="AO581" s="570"/>
      <c r="AP581" s="570"/>
      <c r="AQ581" s="570"/>
      <c r="AR581" s="570"/>
      <c r="AS581" s="570"/>
      <c r="AT581" s="570"/>
      <c r="AU581" s="570"/>
    </row>
    <row r="582" spans="1:47" ht="15.75" customHeight="1">
      <c r="A582" s="575">
        <v>44468</v>
      </c>
      <c r="B582" s="601" t="s">
        <v>6461</v>
      </c>
      <c r="C582" s="405" t="s">
        <v>2929</v>
      </c>
      <c r="D582" s="561" t="s">
        <v>6343</v>
      </c>
      <c r="E582" s="600">
        <v>100000</v>
      </c>
      <c r="F582" s="561" t="s">
        <v>3454</v>
      </c>
      <c r="G582" s="571" t="s">
        <v>19</v>
      </c>
      <c r="H582" s="571" t="s">
        <v>35</v>
      </c>
      <c r="I582" s="571" t="s">
        <v>250</v>
      </c>
      <c r="J582" s="571">
        <v>44279</v>
      </c>
      <c r="K582" s="574" t="s">
        <v>3803</v>
      </c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70"/>
      <c r="AH582" s="570"/>
      <c r="AI582" s="570"/>
      <c r="AJ582" s="570"/>
      <c r="AK582" s="570"/>
      <c r="AL582" s="570"/>
      <c r="AM582" s="570"/>
      <c r="AN582" s="570"/>
      <c r="AO582" s="570"/>
      <c r="AP582" s="570"/>
      <c r="AQ582" s="570"/>
      <c r="AR582" s="570"/>
      <c r="AS582" s="570"/>
      <c r="AT582" s="570"/>
      <c r="AU582" s="570"/>
    </row>
    <row r="583" spans="1:47" ht="15.75" customHeight="1">
      <c r="A583" s="575">
        <v>44468</v>
      </c>
      <c r="B583" s="601" t="s">
        <v>6576</v>
      </c>
      <c r="C583" s="405" t="s">
        <v>2929</v>
      </c>
      <c r="D583" s="561" t="s">
        <v>6343</v>
      </c>
      <c r="E583" s="600">
        <v>120000</v>
      </c>
      <c r="F583" s="561" t="s">
        <v>3341</v>
      </c>
      <c r="G583" s="571" t="s">
        <v>19</v>
      </c>
      <c r="H583" s="571" t="s">
        <v>35</v>
      </c>
      <c r="I583" s="571" t="s">
        <v>2979</v>
      </c>
      <c r="J583" s="571">
        <v>44279</v>
      </c>
      <c r="K583" s="574" t="s">
        <v>3797</v>
      </c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70"/>
      <c r="AH583" s="570"/>
      <c r="AI583" s="570"/>
      <c r="AJ583" s="570"/>
      <c r="AK583" s="570"/>
      <c r="AL583" s="570"/>
      <c r="AM583" s="570"/>
      <c r="AN583" s="570"/>
      <c r="AO583" s="570"/>
      <c r="AP583" s="570"/>
      <c r="AQ583" s="570"/>
      <c r="AR583" s="570"/>
      <c r="AS583" s="570"/>
      <c r="AT583" s="570"/>
      <c r="AU583" s="570"/>
    </row>
    <row r="584" spans="1:47" ht="15.75" customHeight="1">
      <c r="A584" s="575">
        <v>44469</v>
      </c>
      <c r="B584" s="572" t="s">
        <v>6577</v>
      </c>
      <c r="C584" s="405" t="s">
        <v>3793</v>
      </c>
      <c r="D584" s="561" t="s">
        <v>921</v>
      </c>
      <c r="E584" s="573">
        <v>456422.62</v>
      </c>
      <c r="F584" s="561" t="s">
        <v>4548</v>
      </c>
      <c r="G584" s="561" t="s">
        <v>46</v>
      </c>
      <c r="H584" s="561" t="s">
        <v>20</v>
      </c>
      <c r="I584" s="561" t="s">
        <v>56</v>
      </c>
      <c r="J584" s="571">
        <v>44130</v>
      </c>
      <c r="K584" s="577" t="s">
        <v>3803</v>
      </c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70"/>
      <c r="AH584" s="570"/>
      <c r="AI584" s="570"/>
      <c r="AJ584" s="570"/>
      <c r="AK584" s="570"/>
      <c r="AL584" s="570"/>
      <c r="AM584" s="570"/>
      <c r="AN584" s="570"/>
      <c r="AO584" s="570"/>
      <c r="AP584" s="570"/>
      <c r="AQ584" s="570"/>
      <c r="AR584" s="570"/>
      <c r="AS584" s="570"/>
      <c r="AT584" s="570"/>
      <c r="AU584" s="570"/>
    </row>
    <row r="585" spans="1:47" ht="15.75" customHeight="1">
      <c r="A585" s="575">
        <v>44469</v>
      </c>
      <c r="B585" s="601" t="s">
        <v>6506</v>
      </c>
      <c r="C585" s="405" t="s">
        <v>2929</v>
      </c>
      <c r="D585" s="561" t="s">
        <v>6343</v>
      </c>
      <c r="E585" s="600">
        <v>100000</v>
      </c>
      <c r="F585" s="561" t="s">
        <v>2941</v>
      </c>
      <c r="G585" s="571" t="s">
        <v>19</v>
      </c>
      <c r="H585" s="571" t="s">
        <v>35</v>
      </c>
      <c r="I585" s="571" t="s">
        <v>250</v>
      </c>
      <c r="J585" s="571">
        <v>44321</v>
      </c>
      <c r="K585" s="574" t="s">
        <v>3813</v>
      </c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70"/>
      <c r="AH585" s="570"/>
      <c r="AI585" s="570"/>
      <c r="AJ585" s="570"/>
      <c r="AK585" s="570"/>
      <c r="AL585" s="570"/>
      <c r="AM585" s="570"/>
      <c r="AN585" s="570"/>
      <c r="AO585" s="570"/>
      <c r="AP585" s="570"/>
      <c r="AQ585" s="570"/>
      <c r="AR585" s="570"/>
      <c r="AS585" s="570"/>
      <c r="AT585" s="570"/>
      <c r="AU585" s="570"/>
    </row>
    <row r="586" spans="1:47" ht="15.75" customHeight="1">
      <c r="A586" s="575">
        <v>44470</v>
      </c>
      <c r="B586" s="576" t="s">
        <v>6467</v>
      </c>
      <c r="C586" s="405" t="s">
        <v>2929</v>
      </c>
      <c r="D586" s="561" t="s">
        <v>6343</v>
      </c>
      <c r="E586" s="600">
        <v>14000</v>
      </c>
      <c r="F586" s="561" t="s">
        <v>2305</v>
      </c>
      <c r="G586" s="571" t="s">
        <v>19</v>
      </c>
      <c r="H586" s="571" t="s">
        <v>35</v>
      </c>
      <c r="I586" s="571" t="s">
        <v>199</v>
      </c>
      <c r="J586" s="571">
        <v>44280</v>
      </c>
      <c r="K586" s="574" t="s">
        <v>3803</v>
      </c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70"/>
      <c r="AH586" s="570"/>
      <c r="AI586" s="570"/>
      <c r="AJ586" s="570"/>
      <c r="AK586" s="570"/>
      <c r="AL586" s="570"/>
      <c r="AM586" s="570"/>
      <c r="AN586" s="570"/>
      <c r="AO586" s="570"/>
      <c r="AP586" s="570"/>
      <c r="AQ586" s="570"/>
      <c r="AR586" s="570"/>
      <c r="AS586" s="570"/>
      <c r="AT586" s="570"/>
      <c r="AU586" s="570"/>
    </row>
    <row r="587" spans="1:47" ht="15.75" customHeight="1">
      <c r="A587" s="575">
        <v>44470</v>
      </c>
      <c r="B587" s="601" t="s">
        <v>6476</v>
      </c>
      <c r="C587" s="405" t="s">
        <v>2929</v>
      </c>
      <c r="D587" s="561" t="s">
        <v>6343</v>
      </c>
      <c r="E587" s="600">
        <v>45000</v>
      </c>
      <c r="F587" s="561" t="s">
        <v>3245</v>
      </c>
      <c r="G587" s="571" t="s">
        <v>19</v>
      </c>
      <c r="H587" s="571" t="s">
        <v>35</v>
      </c>
      <c r="I587" s="571" t="s">
        <v>2979</v>
      </c>
      <c r="J587" s="571">
        <v>44266</v>
      </c>
      <c r="K587" s="574" t="s">
        <v>3813</v>
      </c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70"/>
      <c r="AH587" s="570"/>
      <c r="AI587" s="570"/>
      <c r="AJ587" s="570"/>
      <c r="AK587" s="570"/>
      <c r="AL587" s="570"/>
      <c r="AM587" s="570"/>
      <c r="AN587" s="570"/>
      <c r="AO587" s="570"/>
      <c r="AP587" s="570"/>
      <c r="AQ587" s="570"/>
      <c r="AR587" s="570"/>
      <c r="AS587" s="570"/>
      <c r="AT587" s="570"/>
      <c r="AU587" s="570"/>
    </row>
    <row r="588" spans="1:47" ht="15.75" customHeight="1">
      <c r="A588" s="575">
        <v>44470</v>
      </c>
      <c r="B588" s="601" t="s">
        <v>6481</v>
      </c>
      <c r="C588" s="405" t="s">
        <v>2929</v>
      </c>
      <c r="D588" s="561" t="s">
        <v>6343</v>
      </c>
      <c r="E588" s="600">
        <v>10000</v>
      </c>
      <c r="F588" s="561" t="s">
        <v>3041</v>
      </c>
      <c r="G588" s="571" t="s">
        <v>19</v>
      </c>
      <c r="H588" s="571" t="s">
        <v>35</v>
      </c>
      <c r="I588" s="571" t="s">
        <v>2979</v>
      </c>
      <c r="J588" s="571">
        <v>44260</v>
      </c>
      <c r="K588" s="574" t="s">
        <v>3803</v>
      </c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70"/>
      <c r="AH588" s="570"/>
      <c r="AI588" s="570"/>
      <c r="AJ588" s="570"/>
      <c r="AK588" s="570"/>
      <c r="AL588" s="570"/>
      <c r="AM588" s="570"/>
      <c r="AN588" s="570"/>
      <c r="AO588" s="570"/>
      <c r="AP588" s="570"/>
      <c r="AQ588" s="570"/>
      <c r="AR588" s="570"/>
      <c r="AS588" s="570"/>
      <c r="AT588" s="570"/>
      <c r="AU588" s="570"/>
    </row>
    <row r="589" spans="1:47" ht="15.75" customHeight="1">
      <c r="A589" s="575">
        <v>44470</v>
      </c>
      <c r="B589" s="601" t="s">
        <v>6578</v>
      </c>
      <c r="C589" s="405" t="s">
        <v>2929</v>
      </c>
      <c r="D589" s="561" t="s">
        <v>6343</v>
      </c>
      <c r="E589" s="600">
        <v>100000</v>
      </c>
      <c r="F589" s="561" t="s">
        <v>3093</v>
      </c>
      <c r="G589" s="571" t="s">
        <v>19</v>
      </c>
      <c r="H589" s="571" t="s">
        <v>35</v>
      </c>
      <c r="I589" s="571" t="s">
        <v>250</v>
      </c>
      <c r="J589" s="571">
        <v>44393</v>
      </c>
      <c r="K589" s="574" t="s">
        <v>4340</v>
      </c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70"/>
      <c r="AH589" s="570"/>
      <c r="AI589" s="570"/>
      <c r="AJ589" s="570"/>
      <c r="AK589" s="570"/>
      <c r="AL589" s="570"/>
      <c r="AM589" s="570"/>
      <c r="AN589" s="570"/>
      <c r="AO589" s="570"/>
      <c r="AP589" s="570"/>
      <c r="AQ589" s="570"/>
      <c r="AR589" s="570"/>
      <c r="AS589" s="570"/>
      <c r="AT589" s="570"/>
      <c r="AU589" s="570"/>
    </row>
    <row r="590" spans="1:47" ht="15.75" customHeight="1">
      <c r="A590" s="571">
        <v>44470</v>
      </c>
      <c r="B590" s="592" t="s">
        <v>6481</v>
      </c>
      <c r="C590" s="561" t="s">
        <v>2929</v>
      </c>
      <c r="D590" s="561" t="s">
        <v>956</v>
      </c>
      <c r="E590" s="573">
        <v>151371.24</v>
      </c>
      <c r="F590" s="561" t="s">
        <v>3041</v>
      </c>
      <c r="G590" s="571" t="s">
        <v>19</v>
      </c>
      <c r="H590" s="571" t="s">
        <v>35</v>
      </c>
      <c r="I590" s="571" t="s">
        <v>2979</v>
      </c>
      <c r="J590" s="571">
        <v>44260</v>
      </c>
      <c r="K590" s="574" t="s">
        <v>3803</v>
      </c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70"/>
      <c r="AH590" s="570"/>
      <c r="AI590" s="570"/>
      <c r="AJ590" s="570"/>
      <c r="AK590" s="570"/>
      <c r="AL590" s="570"/>
      <c r="AM590" s="570"/>
      <c r="AN590" s="570"/>
      <c r="AO590" s="570"/>
      <c r="AP590" s="570"/>
      <c r="AQ590" s="570"/>
      <c r="AR590" s="570"/>
      <c r="AS590" s="570"/>
      <c r="AT590" s="570"/>
      <c r="AU590" s="570"/>
    </row>
    <row r="591" spans="1:47" ht="15.75" customHeight="1">
      <c r="A591" s="575">
        <v>44473</v>
      </c>
      <c r="B591" s="572" t="s">
        <v>6576</v>
      </c>
      <c r="C591" s="405" t="s">
        <v>2929</v>
      </c>
      <c r="D591" s="561" t="s">
        <v>6343</v>
      </c>
      <c r="E591" s="600">
        <v>80000</v>
      </c>
      <c r="F591" s="561" t="s">
        <v>3341</v>
      </c>
      <c r="G591" s="571" t="s">
        <v>19</v>
      </c>
      <c r="H591" s="571" t="s">
        <v>35</v>
      </c>
      <c r="I591" s="571" t="s">
        <v>2979</v>
      </c>
      <c r="J591" s="571">
        <v>44279</v>
      </c>
      <c r="K591" s="574" t="s">
        <v>3797</v>
      </c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70"/>
      <c r="AH591" s="570"/>
      <c r="AI591" s="570"/>
      <c r="AJ591" s="570"/>
      <c r="AK591" s="570"/>
      <c r="AL591" s="570"/>
      <c r="AM591" s="570"/>
      <c r="AN591" s="570"/>
      <c r="AO591" s="570"/>
      <c r="AP591" s="570"/>
      <c r="AQ591" s="570"/>
      <c r="AR591" s="570"/>
      <c r="AS591" s="570"/>
      <c r="AT591" s="570"/>
      <c r="AU591" s="570"/>
    </row>
    <row r="592" spans="1:47" ht="15.75" customHeight="1">
      <c r="A592" s="571">
        <v>44473</v>
      </c>
      <c r="B592" s="576" t="s">
        <v>6528</v>
      </c>
      <c r="C592" s="561" t="s">
        <v>3793</v>
      </c>
      <c r="D592" s="561" t="s">
        <v>956</v>
      </c>
      <c r="E592" s="573">
        <v>0</v>
      </c>
      <c r="F592" s="561" t="s">
        <v>5359</v>
      </c>
      <c r="G592" s="561" t="s">
        <v>46</v>
      </c>
      <c r="H592" s="561" t="s">
        <v>20</v>
      </c>
      <c r="I592" s="561" t="s">
        <v>4459</v>
      </c>
      <c r="J592" s="571">
        <v>44397</v>
      </c>
      <c r="K592" s="577" t="s">
        <v>3813</v>
      </c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70"/>
      <c r="AH592" s="570"/>
      <c r="AI592" s="570"/>
      <c r="AJ592" s="570"/>
      <c r="AK592" s="570"/>
      <c r="AL592" s="570"/>
      <c r="AM592" s="570"/>
      <c r="AN592" s="570"/>
      <c r="AO592" s="570"/>
      <c r="AP592" s="570"/>
      <c r="AQ592" s="570"/>
      <c r="AR592" s="570"/>
      <c r="AS592" s="570"/>
      <c r="AT592" s="570"/>
      <c r="AU592" s="570"/>
    </row>
    <row r="593" spans="1:47" ht="15.75" customHeight="1">
      <c r="A593" s="571">
        <v>44473</v>
      </c>
      <c r="B593" s="576" t="s">
        <v>6579</v>
      </c>
      <c r="C593" s="561" t="s">
        <v>3793</v>
      </c>
      <c r="D593" s="561" t="s">
        <v>956</v>
      </c>
      <c r="E593" s="573">
        <v>0</v>
      </c>
      <c r="F593" s="561" t="s">
        <v>3833</v>
      </c>
      <c r="G593" s="561" t="s">
        <v>19</v>
      </c>
      <c r="H593" s="561" t="s">
        <v>20</v>
      </c>
      <c r="I593" s="561" t="s">
        <v>3689</v>
      </c>
      <c r="J593" s="571">
        <v>44302</v>
      </c>
      <c r="K593" s="577" t="s">
        <v>3817</v>
      </c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70"/>
      <c r="AH593" s="570"/>
      <c r="AI593" s="570"/>
      <c r="AJ593" s="570"/>
      <c r="AK593" s="570"/>
      <c r="AL593" s="570"/>
      <c r="AM593" s="570"/>
      <c r="AN593" s="570"/>
      <c r="AO593" s="570"/>
      <c r="AP593" s="570"/>
      <c r="AQ593" s="570"/>
      <c r="AR593" s="570"/>
      <c r="AS593" s="570"/>
      <c r="AT593" s="570"/>
      <c r="AU593" s="570"/>
    </row>
    <row r="594" spans="1:47" ht="15.75" customHeight="1">
      <c r="A594" s="571">
        <v>44473</v>
      </c>
      <c r="B594" s="572" t="s">
        <v>6580</v>
      </c>
      <c r="C594" s="561" t="s">
        <v>2929</v>
      </c>
      <c r="D594" s="561" t="s">
        <v>956</v>
      </c>
      <c r="E594" s="573">
        <v>172836.33</v>
      </c>
      <c r="F594" s="561" t="s">
        <v>3057</v>
      </c>
      <c r="G594" s="571" t="s">
        <v>2931</v>
      </c>
      <c r="H594" s="571" t="s">
        <v>20</v>
      </c>
      <c r="I594" s="571" t="s">
        <v>2932</v>
      </c>
      <c r="J594" s="571">
        <v>43865</v>
      </c>
      <c r="K594" s="574" t="s">
        <v>3803</v>
      </c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70"/>
      <c r="AH594" s="570"/>
      <c r="AI594" s="570"/>
      <c r="AJ594" s="570"/>
      <c r="AK594" s="570"/>
      <c r="AL594" s="570"/>
      <c r="AM594" s="570"/>
      <c r="AN594" s="570"/>
      <c r="AO594" s="570"/>
      <c r="AP594" s="570"/>
      <c r="AQ594" s="570"/>
      <c r="AR594" s="570"/>
      <c r="AS594" s="570"/>
      <c r="AT594" s="570"/>
      <c r="AU594" s="570"/>
    </row>
    <row r="595" spans="1:47" ht="15.75" customHeight="1">
      <c r="A595" s="571">
        <v>44473</v>
      </c>
      <c r="B595" s="576" t="s">
        <v>6404</v>
      </c>
      <c r="C595" s="561" t="s">
        <v>2929</v>
      </c>
      <c r="D595" s="561" t="s">
        <v>956</v>
      </c>
      <c r="E595" s="573">
        <v>154589.26999999999</v>
      </c>
      <c r="F595" s="561" t="s">
        <v>3369</v>
      </c>
      <c r="G595" s="571" t="s">
        <v>2931</v>
      </c>
      <c r="H595" s="571" t="s">
        <v>20</v>
      </c>
      <c r="I595" s="571" t="s">
        <v>2932</v>
      </c>
      <c r="J595" s="571">
        <v>43873</v>
      </c>
      <c r="K595" s="574" t="s">
        <v>3803</v>
      </c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70"/>
      <c r="AH595" s="570"/>
      <c r="AI595" s="570"/>
      <c r="AJ595" s="570"/>
      <c r="AK595" s="570"/>
      <c r="AL595" s="570"/>
      <c r="AM595" s="570"/>
      <c r="AN595" s="570"/>
      <c r="AO595" s="570"/>
      <c r="AP595" s="570"/>
      <c r="AQ595" s="570"/>
      <c r="AR595" s="570"/>
      <c r="AS595" s="570"/>
      <c r="AT595" s="570"/>
      <c r="AU595" s="570"/>
    </row>
    <row r="596" spans="1:47" ht="15.75" customHeight="1">
      <c r="A596" s="571">
        <v>44473</v>
      </c>
      <c r="B596" s="592" t="s">
        <v>6576</v>
      </c>
      <c r="C596" s="561" t="s">
        <v>2929</v>
      </c>
      <c r="D596" s="561" t="s">
        <v>956</v>
      </c>
      <c r="E596" s="573">
        <v>237009.79</v>
      </c>
      <c r="F596" s="561" t="s">
        <v>3341</v>
      </c>
      <c r="G596" s="571" t="s">
        <v>19</v>
      </c>
      <c r="H596" s="571" t="s">
        <v>35</v>
      </c>
      <c r="I596" s="571" t="s">
        <v>2979</v>
      </c>
      <c r="J596" s="571">
        <v>44279</v>
      </c>
      <c r="K596" s="574" t="s">
        <v>3797</v>
      </c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70"/>
      <c r="AH596" s="570"/>
      <c r="AI596" s="570"/>
      <c r="AJ596" s="570"/>
      <c r="AK596" s="570"/>
      <c r="AL596" s="570"/>
      <c r="AM596" s="570"/>
      <c r="AN596" s="570"/>
      <c r="AO596" s="570"/>
      <c r="AP596" s="570"/>
      <c r="AQ596" s="570"/>
      <c r="AR596" s="570"/>
      <c r="AS596" s="570"/>
      <c r="AT596" s="570"/>
      <c r="AU596" s="570"/>
    </row>
    <row r="597" spans="1:47" ht="15.75" customHeight="1">
      <c r="A597" s="575">
        <v>44474</v>
      </c>
      <c r="B597" s="576" t="s">
        <v>6481</v>
      </c>
      <c r="C597" s="405" t="s">
        <v>2929</v>
      </c>
      <c r="D597" s="561" t="s">
        <v>6343</v>
      </c>
      <c r="E597" s="585">
        <v>49307.71</v>
      </c>
      <c r="F597" s="561" t="s">
        <v>3041</v>
      </c>
      <c r="G597" s="571" t="s">
        <v>19</v>
      </c>
      <c r="H597" s="571" t="s">
        <v>35</v>
      </c>
      <c r="I597" s="571" t="s">
        <v>2979</v>
      </c>
      <c r="J597" s="571">
        <v>44260</v>
      </c>
      <c r="K597" s="574" t="s">
        <v>3803</v>
      </c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70"/>
      <c r="AH597" s="570"/>
      <c r="AI597" s="570"/>
      <c r="AJ597" s="570"/>
      <c r="AK597" s="570"/>
      <c r="AL597" s="570"/>
      <c r="AM597" s="570"/>
      <c r="AN597" s="570"/>
      <c r="AO597" s="570"/>
      <c r="AP597" s="570"/>
      <c r="AQ597" s="570"/>
      <c r="AR597" s="570"/>
      <c r="AS597" s="570"/>
      <c r="AT597" s="570"/>
      <c r="AU597" s="570"/>
    </row>
    <row r="598" spans="1:47" ht="15.75" customHeight="1">
      <c r="A598" s="575">
        <v>44474</v>
      </c>
      <c r="B598" s="576" t="s">
        <v>6495</v>
      </c>
      <c r="C598" s="405" t="s">
        <v>2929</v>
      </c>
      <c r="D598" s="561" t="s">
        <v>6343</v>
      </c>
      <c r="E598" s="600">
        <v>56000</v>
      </c>
      <c r="F598" s="561" t="s">
        <v>1384</v>
      </c>
      <c r="G598" s="571" t="s">
        <v>19</v>
      </c>
      <c r="H598" s="571" t="s">
        <v>35</v>
      </c>
      <c r="I598" s="571" t="s">
        <v>199</v>
      </c>
      <c r="J598" s="571">
        <v>44280</v>
      </c>
      <c r="K598" s="574" t="s">
        <v>3810</v>
      </c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70"/>
      <c r="AH598" s="570"/>
      <c r="AI598" s="570"/>
      <c r="AJ598" s="570"/>
      <c r="AK598" s="570"/>
      <c r="AL598" s="570"/>
      <c r="AM598" s="570"/>
      <c r="AN598" s="570"/>
      <c r="AO598" s="570"/>
      <c r="AP598" s="570"/>
      <c r="AQ598" s="570"/>
      <c r="AR598" s="570"/>
      <c r="AS598" s="570"/>
      <c r="AT598" s="570"/>
      <c r="AU598" s="570"/>
    </row>
    <row r="599" spans="1:47" ht="15.75" customHeight="1">
      <c r="A599" s="575">
        <v>44474</v>
      </c>
      <c r="B599" s="576" t="s">
        <v>6566</v>
      </c>
      <c r="C599" s="405" t="s">
        <v>2929</v>
      </c>
      <c r="D599" s="561" t="s">
        <v>6343</v>
      </c>
      <c r="E599" s="600">
        <v>5500</v>
      </c>
      <c r="F599" s="561" t="s">
        <v>3193</v>
      </c>
      <c r="G599" s="571" t="s">
        <v>19</v>
      </c>
      <c r="H599" s="571" t="s">
        <v>35</v>
      </c>
      <c r="I599" s="571" t="s">
        <v>250</v>
      </c>
      <c r="J599" s="571">
        <v>44319</v>
      </c>
      <c r="K599" s="574" t="s">
        <v>3797</v>
      </c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70"/>
      <c r="AH599" s="570"/>
      <c r="AI599" s="570"/>
      <c r="AJ599" s="570"/>
      <c r="AK599" s="570"/>
      <c r="AL599" s="570"/>
      <c r="AM599" s="570"/>
      <c r="AN599" s="570"/>
      <c r="AO599" s="570"/>
      <c r="AP599" s="570"/>
      <c r="AQ599" s="570"/>
      <c r="AR599" s="570"/>
      <c r="AS599" s="570"/>
      <c r="AT599" s="570"/>
      <c r="AU599" s="570"/>
    </row>
    <row r="600" spans="1:47" ht="15.75" customHeight="1">
      <c r="A600" s="575">
        <v>44474</v>
      </c>
      <c r="B600" s="576" t="s">
        <v>6494</v>
      </c>
      <c r="C600" s="405" t="s">
        <v>2929</v>
      </c>
      <c r="D600" s="561" t="s">
        <v>6343</v>
      </c>
      <c r="E600" s="600">
        <v>175000</v>
      </c>
      <c r="F600" s="561" t="s">
        <v>3226</v>
      </c>
      <c r="G600" s="571" t="s">
        <v>19</v>
      </c>
      <c r="H600" s="571" t="s">
        <v>35</v>
      </c>
      <c r="I600" s="571" t="s">
        <v>199</v>
      </c>
      <c r="J600" s="571">
        <v>44313</v>
      </c>
      <c r="K600" s="574" t="s">
        <v>3803</v>
      </c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70"/>
      <c r="AH600" s="570"/>
      <c r="AI600" s="570"/>
      <c r="AJ600" s="570"/>
      <c r="AK600" s="570"/>
      <c r="AL600" s="570"/>
      <c r="AM600" s="570"/>
      <c r="AN600" s="570"/>
      <c r="AO600" s="570"/>
      <c r="AP600" s="570"/>
      <c r="AQ600" s="570"/>
      <c r="AR600" s="570"/>
      <c r="AS600" s="570"/>
      <c r="AT600" s="570"/>
      <c r="AU600" s="570"/>
    </row>
    <row r="601" spans="1:47" ht="15.75" customHeight="1">
      <c r="A601" s="575">
        <v>44474</v>
      </c>
      <c r="B601" s="576" t="s">
        <v>6581</v>
      </c>
      <c r="C601" s="405" t="s">
        <v>2929</v>
      </c>
      <c r="D601" s="561" t="s">
        <v>6343</v>
      </c>
      <c r="E601" s="600">
        <v>10000</v>
      </c>
      <c r="F601" s="561" t="s">
        <v>468</v>
      </c>
      <c r="G601" s="571" t="s">
        <v>19</v>
      </c>
      <c r="H601" s="571" t="s">
        <v>35</v>
      </c>
      <c r="I601" s="571" t="s">
        <v>199</v>
      </c>
      <c r="J601" s="571">
        <v>44421</v>
      </c>
      <c r="K601" s="574" t="s">
        <v>3803</v>
      </c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70"/>
      <c r="AH601" s="570"/>
      <c r="AI601" s="570"/>
      <c r="AJ601" s="570"/>
      <c r="AK601" s="570"/>
      <c r="AL601" s="570"/>
      <c r="AM601" s="570"/>
      <c r="AN601" s="570"/>
      <c r="AO601" s="570"/>
      <c r="AP601" s="570"/>
      <c r="AQ601" s="570"/>
      <c r="AR601" s="570"/>
      <c r="AS601" s="570"/>
      <c r="AT601" s="570"/>
      <c r="AU601" s="570"/>
    </row>
    <row r="602" spans="1:47" ht="15.75" customHeight="1">
      <c r="A602" s="575">
        <v>44474</v>
      </c>
      <c r="B602" s="576" t="s">
        <v>6521</v>
      </c>
      <c r="C602" s="405" t="s">
        <v>2929</v>
      </c>
      <c r="D602" s="561" t="s">
        <v>6343</v>
      </c>
      <c r="E602" s="600">
        <v>10000</v>
      </c>
      <c r="F602" s="561" t="s">
        <v>736</v>
      </c>
      <c r="G602" s="571" t="s">
        <v>19</v>
      </c>
      <c r="H602" s="571" t="s">
        <v>35</v>
      </c>
      <c r="I602" s="571" t="s">
        <v>199</v>
      </c>
      <c r="J602" s="571">
        <v>44280</v>
      </c>
      <c r="K602" s="574" t="s">
        <v>3803</v>
      </c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70"/>
      <c r="AH602" s="570"/>
      <c r="AI602" s="570"/>
      <c r="AJ602" s="570"/>
      <c r="AK602" s="570"/>
      <c r="AL602" s="570"/>
      <c r="AM602" s="570"/>
      <c r="AN602" s="570"/>
      <c r="AO602" s="570"/>
      <c r="AP602" s="570"/>
      <c r="AQ602" s="570"/>
      <c r="AR602" s="570"/>
      <c r="AS602" s="570"/>
      <c r="AT602" s="570"/>
      <c r="AU602" s="570"/>
    </row>
    <row r="603" spans="1:47" ht="15.75" customHeight="1">
      <c r="A603" s="575">
        <v>44474</v>
      </c>
      <c r="B603" s="576" t="s">
        <v>6349</v>
      </c>
      <c r="C603" s="405" t="s">
        <v>2929</v>
      </c>
      <c r="D603" s="561" t="s">
        <v>6343</v>
      </c>
      <c r="E603" s="600">
        <v>10000</v>
      </c>
      <c r="F603" s="561" t="s">
        <v>3198</v>
      </c>
      <c r="G603" s="571" t="s">
        <v>2931</v>
      </c>
      <c r="H603" s="571" t="s">
        <v>20</v>
      </c>
      <c r="I603" s="571" t="s">
        <v>2932</v>
      </c>
      <c r="J603" s="571">
        <v>43703</v>
      </c>
      <c r="K603" s="574" t="s">
        <v>4196</v>
      </c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70"/>
      <c r="AH603" s="570"/>
      <c r="AI603" s="570"/>
      <c r="AJ603" s="570"/>
      <c r="AK603" s="570"/>
      <c r="AL603" s="570"/>
      <c r="AM603" s="570"/>
      <c r="AN603" s="570"/>
      <c r="AO603" s="570"/>
      <c r="AP603" s="570"/>
      <c r="AQ603" s="570"/>
      <c r="AR603" s="570"/>
      <c r="AS603" s="570"/>
      <c r="AT603" s="570"/>
      <c r="AU603" s="570"/>
    </row>
    <row r="604" spans="1:47" ht="15.75" customHeight="1">
      <c r="A604" s="575">
        <v>44474</v>
      </c>
      <c r="B604" s="576" t="s">
        <v>6410</v>
      </c>
      <c r="C604" s="405" t="s">
        <v>2929</v>
      </c>
      <c r="D604" s="561" t="s">
        <v>6343</v>
      </c>
      <c r="E604" s="600">
        <v>40000</v>
      </c>
      <c r="F604" s="561" t="s">
        <v>850</v>
      </c>
      <c r="G604" s="571" t="s">
        <v>19</v>
      </c>
      <c r="H604" s="571" t="s">
        <v>35</v>
      </c>
      <c r="I604" s="571" t="s">
        <v>199</v>
      </c>
      <c r="J604" s="571">
        <v>44321</v>
      </c>
      <c r="K604" s="574" t="s">
        <v>3803</v>
      </c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70"/>
      <c r="AH604" s="570"/>
      <c r="AI604" s="570"/>
      <c r="AJ604" s="570"/>
      <c r="AK604" s="570"/>
      <c r="AL604" s="570"/>
      <c r="AM604" s="570"/>
      <c r="AN604" s="570"/>
      <c r="AO604" s="570"/>
      <c r="AP604" s="570"/>
      <c r="AQ604" s="570"/>
      <c r="AR604" s="570"/>
      <c r="AS604" s="570"/>
      <c r="AT604" s="570"/>
      <c r="AU604" s="570"/>
    </row>
    <row r="605" spans="1:47" ht="15.75" customHeight="1">
      <c r="A605" s="575">
        <v>44474</v>
      </c>
      <c r="B605" s="576" t="s">
        <v>6582</v>
      </c>
      <c r="C605" s="405" t="s">
        <v>2929</v>
      </c>
      <c r="D605" s="561" t="s">
        <v>6343</v>
      </c>
      <c r="E605" s="600">
        <v>150000</v>
      </c>
      <c r="F605" s="561" t="s">
        <v>3268</v>
      </c>
      <c r="G605" s="571" t="s">
        <v>2931</v>
      </c>
      <c r="H605" s="571" t="s">
        <v>20</v>
      </c>
      <c r="I605" s="571" t="s">
        <v>2932</v>
      </c>
      <c r="J605" s="571">
        <v>43879</v>
      </c>
      <c r="K605" s="574" t="s">
        <v>3803</v>
      </c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70"/>
      <c r="AH605" s="570"/>
      <c r="AI605" s="570"/>
      <c r="AJ605" s="570"/>
      <c r="AK605" s="570"/>
      <c r="AL605" s="570"/>
      <c r="AM605" s="570"/>
      <c r="AN605" s="570"/>
      <c r="AO605" s="570"/>
      <c r="AP605" s="570"/>
      <c r="AQ605" s="570"/>
      <c r="AR605" s="570"/>
      <c r="AS605" s="570"/>
      <c r="AT605" s="570"/>
      <c r="AU605" s="570"/>
    </row>
    <row r="606" spans="1:47" ht="15.75" customHeight="1">
      <c r="A606" s="575">
        <v>44475</v>
      </c>
      <c r="B606" s="576" t="s">
        <v>6576</v>
      </c>
      <c r="C606" s="405" t="s">
        <v>2929</v>
      </c>
      <c r="D606" s="561" t="s">
        <v>6343</v>
      </c>
      <c r="E606" s="600">
        <v>30000</v>
      </c>
      <c r="F606" s="561" t="s">
        <v>3341</v>
      </c>
      <c r="G606" s="571" t="s">
        <v>19</v>
      </c>
      <c r="H606" s="571" t="s">
        <v>35</v>
      </c>
      <c r="I606" s="571" t="s">
        <v>2979</v>
      </c>
      <c r="J606" s="571">
        <v>44279</v>
      </c>
      <c r="K606" s="574" t="s">
        <v>3797</v>
      </c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70"/>
      <c r="AH606" s="570"/>
      <c r="AI606" s="570"/>
      <c r="AJ606" s="570"/>
      <c r="AK606" s="570"/>
      <c r="AL606" s="570"/>
      <c r="AM606" s="570"/>
      <c r="AN606" s="570"/>
      <c r="AO606" s="570"/>
      <c r="AP606" s="570"/>
      <c r="AQ606" s="570"/>
      <c r="AR606" s="570"/>
      <c r="AS606" s="570"/>
      <c r="AT606" s="570"/>
      <c r="AU606" s="570"/>
    </row>
    <row r="607" spans="1:47" ht="15.75" customHeight="1">
      <c r="A607" s="575">
        <v>44475</v>
      </c>
      <c r="B607" s="576" t="s">
        <v>6475</v>
      </c>
      <c r="C607" s="405" t="s">
        <v>2929</v>
      </c>
      <c r="D607" s="561" t="s">
        <v>6343</v>
      </c>
      <c r="E607" s="600">
        <v>20000</v>
      </c>
      <c r="F607" s="561" t="s">
        <v>3339</v>
      </c>
      <c r="G607" s="571" t="s">
        <v>19</v>
      </c>
      <c r="H607" s="571" t="s">
        <v>35</v>
      </c>
      <c r="I607" s="571" t="s">
        <v>250</v>
      </c>
      <c r="J607" s="571">
        <v>44322</v>
      </c>
      <c r="K607" s="574" t="s">
        <v>3803</v>
      </c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70"/>
      <c r="AH607" s="570"/>
      <c r="AI607" s="570"/>
      <c r="AJ607" s="570"/>
      <c r="AK607" s="570"/>
      <c r="AL607" s="570"/>
      <c r="AM607" s="570"/>
      <c r="AN607" s="570"/>
      <c r="AO607" s="570"/>
      <c r="AP607" s="570"/>
      <c r="AQ607" s="570"/>
      <c r="AR607" s="570"/>
      <c r="AS607" s="570"/>
      <c r="AT607" s="570"/>
      <c r="AU607" s="570"/>
    </row>
    <row r="608" spans="1:47" ht="15.75" customHeight="1">
      <c r="A608" s="575">
        <v>44476</v>
      </c>
      <c r="B608" s="576" t="s">
        <v>6583</v>
      </c>
      <c r="C608" s="405" t="s">
        <v>2929</v>
      </c>
      <c r="D608" s="561" t="s">
        <v>921</v>
      </c>
      <c r="E608" s="573">
        <v>121689.31</v>
      </c>
      <c r="F608" s="561" t="s">
        <v>3184</v>
      </c>
      <c r="G608" s="571" t="s">
        <v>19</v>
      </c>
      <c r="H608" s="571" t="s">
        <v>35</v>
      </c>
      <c r="I608" s="571" t="s">
        <v>199</v>
      </c>
      <c r="J608" s="571">
        <v>44333</v>
      </c>
      <c r="K608" s="574" t="s">
        <v>3803</v>
      </c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70"/>
      <c r="AH608" s="570"/>
      <c r="AI608" s="570"/>
      <c r="AJ608" s="570"/>
      <c r="AK608" s="570"/>
      <c r="AL608" s="570"/>
      <c r="AM608" s="570"/>
      <c r="AN608" s="570"/>
      <c r="AO608" s="570"/>
      <c r="AP608" s="570"/>
      <c r="AQ608" s="570"/>
      <c r="AR608" s="570"/>
      <c r="AS608" s="570"/>
      <c r="AT608" s="570"/>
      <c r="AU608" s="570"/>
    </row>
    <row r="609" spans="1:47" ht="15.75" customHeight="1">
      <c r="A609" s="575">
        <v>44477</v>
      </c>
      <c r="B609" s="602" t="s">
        <v>6437</v>
      </c>
      <c r="C609" s="405" t="s">
        <v>3793</v>
      </c>
      <c r="D609" s="561" t="s">
        <v>921</v>
      </c>
      <c r="E609" s="573">
        <v>94947.93</v>
      </c>
      <c r="F609" s="561" t="s">
        <v>5245</v>
      </c>
      <c r="G609" s="561" t="s">
        <v>46</v>
      </c>
      <c r="H609" s="561" t="s">
        <v>20</v>
      </c>
      <c r="I609" s="561" t="s">
        <v>5246</v>
      </c>
      <c r="J609" s="571">
        <v>44105</v>
      </c>
      <c r="K609" s="577" t="s">
        <v>3817</v>
      </c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70"/>
      <c r="AH609" s="570"/>
      <c r="AI609" s="570"/>
      <c r="AJ609" s="570"/>
      <c r="AK609" s="570"/>
      <c r="AL609" s="570"/>
      <c r="AM609" s="570"/>
      <c r="AN609" s="570"/>
      <c r="AO609" s="570"/>
      <c r="AP609" s="570"/>
      <c r="AQ609" s="570"/>
      <c r="AR609" s="570"/>
      <c r="AS609" s="570"/>
      <c r="AT609" s="570"/>
      <c r="AU609" s="570"/>
    </row>
    <row r="610" spans="1:47" ht="15.75" customHeight="1">
      <c r="A610" s="571">
        <v>44477</v>
      </c>
      <c r="B610" s="572" t="s">
        <v>6584</v>
      </c>
      <c r="C610" s="561" t="s">
        <v>3793</v>
      </c>
      <c r="D610" s="561" t="s">
        <v>956</v>
      </c>
      <c r="E610" s="573">
        <v>0</v>
      </c>
      <c r="F610" s="561" t="s">
        <v>4397</v>
      </c>
      <c r="G610" s="561" t="s">
        <v>46</v>
      </c>
      <c r="H610" s="561" t="s">
        <v>20</v>
      </c>
      <c r="I610" s="561" t="s">
        <v>3640</v>
      </c>
      <c r="J610" s="571">
        <v>44238</v>
      </c>
      <c r="K610" s="577" t="s">
        <v>3797</v>
      </c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70"/>
      <c r="AH610" s="570"/>
      <c r="AI610" s="570"/>
      <c r="AJ610" s="570"/>
      <c r="AK610" s="570"/>
      <c r="AL610" s="570"/>
      <c r="AM610" s="570"/>
      <c r="AN610" s="570"/>
      <c r="AO610" s="570"/>
      <c r="AP610" s="570"/>
      <c r="AQ610" s="570"/>
      <c r="AR610" s="570"/>
      <c r="AS610" s="570"/>
      <c r="AT610" s="570"/>
      <c r="AU610" s="570"/>
    </row>
    <row r="611" spans="1:47" ht="15.75" customHeight="1">
      <c r="A611" s="575">
        <v>44480</v>
      </c>
      <c r="B611" s="601" t="s">
        <v>6552</v>
      </c>
      <c r="C611" s="405" t="s">
        <v>2929</v>
      </c>
      <c r="D611" s="561" t="s">
        <v>6343</v>
      </c>
      <c r="E611" s="600">
        <v>20000</v>
      </c>
      <c r="F611" s="561" t="s">
        <v>3509</v>
      </c>
      <c r="G611" s="571" t="s">
        <v>19</v>
      </c>
      <c r="H611" s="571" t="s">
        <v>35</v>
      </c>
      <c r="I611" s="571" t="s">
        <v>199</v>
      </c>
      <c r="J611" s="571">
        <v>44263</v>
      </c>
      <c r="K611" s="574" t="s">
        <v>3813</v>
      </c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70"/>
      <c r="AH611" s="570"/>
      <c r="AI611" s="570"/>
      <c r="AJ611" s="570"/>
      <c r="AK611" s="570"/>
      <c r="AL611" s="570"/>
      <c r="AM611" s="570"/>
      <c r="AN611" s="570"/>
      <c r="AO611" s="570"/>
      <c r="AP611" s="570"/>
      <c r="AQ611" s="570"/>
      <c r="AR611" s="570"/>
      <c r="AS611" s="570"/>
      <c r="AT611" s="570"/>
      <c r="AU611" s="570"/>
    </row>
    <row r="612" spans="1:47" ht="15.75" customHeight="1">
      <c r="A612" s="571">
        <v>44480</v>
      </c>
      <c r="B612" s="592" t="s">
        <v>6585</v>
      </c>
      <c r="C612" s="561" t="s">
        <v>2929</v>
      </c>
      <c r="D612" s="561" t="s">
        <v>956</v>
      </c>
      <c r="E612" s="573">
        <v>489398.81</v>
      </c>
      <c r="F612" s="561" t="s">
        <v>3378</v>
      </c>
      <c r="G612" s="571" t="s">
        <v>19</v>
      </c>
      <c r="H612" s="571" t="s">
        <v>35</v>
      </c>
      <c r="I612" s="571" t="s">
        <v>250</v>
      </c>
      <c r="J612" s="571">
        <v>44280</v>
      </c>
      <c r="K612" s="574" t="s">
        <v>3797</v>
      </c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70"/>
      <c r="AH612" s="570"/>
      <c r="AI612" s="570"/>
      <c r="AJ612" s="570"/>
      <c r="AK612" s="570"/>
      <c r="AL612" s="570"/>
      <c r="AM612" s="570"/>
      <c r="AN612" s="570"/>
      <c r="AO612" s="570"/>
      <c r="AP612" s="570"/>
      <c r="AQ612" s="570"/>
      <c r="AR612" s="570"/>
      <c r="AS612" s="570"/>
      <c r="AT612" s="570"/>
      <c r="AU612" s="570"/>
    </row>
    <row r="613" spans="1:47" ht="15.75" customHeight="1">
      <c r="A613" s="575">
        <v>44482</v>
      </c>
      <c r="B613" s="576" t="s">
        <v>6586</v>
      </c>
      <c r="C613" s="405" t="s">
        <v>3793</v>
      </c>
      <c r="D613" s="561" t="s">
        <v>921</v>
      </c>
      <c r="E613" s="573">
        <v>274363.67</v>
      </c>
      <c r="F613" s="561" t="s">
        <v>5265</v>
      </c>
      <c r="G613" s="561" t="s">
        <v>19</v>
      </c>
      <c r="H613" s="561" t="s">
        <v>66</v>
      </c>
      <c r="I613" s="561" t="s">
        <v>5266</v>
      </c>
      <c r="J613" s="571">
        <v>44356</v>
      </c>
      <c r="K613" s="577" t="s">
        <v>3813</v>
      </c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70"/>
      <c r="AH613" s="570"/>
      <c r="AI613" s="570"/>
      <c r="AJ613" s="570"/>
      <c r="AK613" s="570"/>
      <c r="AL613" s="570"/>
      <c r="AM613" s="570"/>
      <c r="AN613" s="570"/>
      <c r="AO613" s="570"/>
      <c r="AP613" s="570"/>
      <c r="AQ613" s="570"/>
      <c r="AR613" s="570"/>
      <c r="AS613" s="570"/>
      <c r="AT613" s="570"/>
      <c r="AU613" s="570"/>
    </row>
    <row r="614" spans="1:47" ht="15.75" customHeight="1">
      <c r="A614" s="575">
        <v>44482</v>
      </c>
      <c r="B614" s="572" t="s">
        <v>6587</v>
      </c>
      <c r="C614" s="405" t="s">
        <v>3793</v>
      </c>
      <c r="D614" s="561" t="s">
        <v>6343</v>
      </c>
      <c r="E614" s="573">
        <v>150000</v>
      </c>
      <c r="F614" s="561" t="s">
        <v>4583</v>
      </c>
      <c r="G614" s="561" t="s">
        <v>2931</v>
      </c>
      <c r="H614" s="561" t="s">
        <v>20</v>
      </c>
      <c r="I614" s="561" t="s">
        <v>2931</v>
      </c>
      <c r="J614" s="571">
        <v>44118</v>
      </c>
      <c r="K614" s="577" t="s">
        <v>3817</v>
      </c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70"/>
      <c r="AH614" s="570"/>
      <c r="AI614" s="570"/>
      <c r="AJ614" s="570"/>
      <c r="AK614" s="570"/>
      <c r="AL614" s="570"/>
      <c r="AM614" s="570"/>
      <c r="AN614" s="570"/>
      <c r="AO614" s="570"/>
      <c r="AP614" s="570"/>
      <c r="AQ614" s="570"/>
      <c r="AR614" s="570"/>
      <c r="AS614" s="570"/>
      <c r="AT614" s="570"/>
      <c r="AU614" s="570"/>
    </row>
    <row r="615" spans="1:47" ht="15.75" customHeight="1">
      <c r="A615" s="571">
        <v>44482</v>
      </c>
      <c r="B615" s="572" t="s">
        <v>6357</v>
      </c>
      <c r="C615" s="561" t="s">
        <v>2929</v>
      </c>
      <c r="D615" s="561" t="s">
        <v>956</v>
      </c>
      <c r="E615" s="573">
        <v>15.64</v>
      </c>
      <c r="F615" s="561" t="s">
        <v>3243</v>
      </c>
      <c r="G615" s="571" t="s">
        <v>2931</v>
      </c>
      <c r="H615" s="571" t="s">
        <v>20</v>
      </c>
      <c r="I615" s="571" t="s">
        <v>2938</v>
      </c>
      <c r="J615" s="571">
        <v>43559</v>
      </c>
      <c r="K615" s="574" t="s">
        <v>4196</v>
      </c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70"/>
      <c r="AH615" s="570"/>
      <c r="AI615" s="570"/>
      <c r="AJ615" s="570"/>
      <c r="AK615" s="570"/>
      <c r="AL615" s="570"/>
      <c r="AM615" s="570"/>
      <c r="AN615" s="570"/>
      <c r="AO615" s="570"/>
      <c r="AP615" s="570"/>
      <c r="AQ615" s="570"/>
      <c r="AR615" s="570"/>
      <c r="AS615" s="570"/>
      <c r="AT615" s="570"/>
      <c r="AU615" s="570"/>
    </row>
    <row r="616" spans="1:47" ht="15.75" customHeight="1">
      <c r="A616" s="571">
        <v>44482</v>
      </c>
      <c r="B616" s="572" t="s">
        <v>6377</v>
      </c>
      <c r="C616" s="561" t="s">
        <v>2929</v>
      </c>
      <c r="D616" s="561" t="s">
        <v>956</v>
      </c>
      <c r="E616" s="573">
        <v>115.28</v>
      </c>
      <c r="F616" s="561" t="s">
        <v>3224</v>
      </c>
      <c r="G616" s="571" t="s">
        <v>2931</v>
      </c>
      <c r="H616" s="571" t="s">
        <v>20</v>
      </c>
      <c r="I616" s="571" t="s">
        <v>2932</v>
      </c>
      <c r="J616" s="571">
        <v>43620</v>
      </c>
      <c r="K616" s="574" t="s">
        <v>3817</v>
      </c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70"/>
      <c r="AH616" s="570"/>
      <c r="AI616" s="570"/>
      <c r="AJ616" s="570"/>
      <c r="AK616" s="570"/>
      <c r="AL616" s="570"/>
      <c r="AM616" s="570"/>
      <c r="AN616" s="570"/>
      <c r="AO616" s="570"/>
      <c r="AP616" s="570"/>
      <c r="AQ616" s="570"/>
      <c r="AR616" s="570"/>
      <c r="AS616" s="570"/>
      <c r="AT616" s="570"/>
      <c r="AU616" s="570"/>
    </row>
    <row r="617" spans="1:47" ht="15.75" customHeight="1">
      <c r="A617" s="571">
        <v>44482</v>
      </c>
      <c r="B617" s="572" t="s">
        <v>6388</v>
      </c>
      <c r="C617" s="561" t="s">
        <v>2929</v>
      </c>
      <c r="D617" s="561" t="s">
        <v>956</v>
      </c>
      <c r="E617" s="573">
        <v>13.08</v>
      </c>
      <c r="F617" s="561" t="s">
        <v>3130</v>
      </c>
      <c r="G617" s="571" t="s">
        <v>2931</v>
      </c>
      <c r="H617" s="571" t="s">
        <v>20</v>
      </c>
      <c r="I617" s="571" t="s">
        <v>2932</v>
      </c>
      <c r="J617" s="571">
        <v>43675</v>
      </c>
      <c r="K617" s="574" t="s">
        <v>4196</v>
      </c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70"/>
      <c r="AH617" s="570"/>
      <c r="AI617" s="570"/>
      <c r="AJ617" s="570"/>
      <c r="AK617" s="570"/>
      <c r="AL617" s="570"/>
      <c r="AM617" s="570"/>
      <c r="AN617" s="570"/>
      <c r="AO617" s="570"/>
      <c r="AP617" s="570"/>
      <c r="AQ617" s="570"/>
      <c r="AR617" s="570"/>
      <c r="AS617" s="570"/>
      <c r="AT617" s="570"/>
      <c r="AU617" s="570"/>
    </row>
    <row r="618" spans="1:47" ht="15.75" customHeight="1">
      <c r="A618" s="571">
        <v>44482</v>
      </c>
      <c r="B618" s="572" t="s">
        <v>6588</v>
      </c>
      <c r="C618" s="561" t="s">
        <v>2929</v>
      </c>
      <c r="D618" s="561" t="s">
        <v>956</v>
      </c>
      <c r="E618" s="573"/>
      <c r="F618" s="561" t="s">
        <v>3112</v>
      </c>
      <c r="G618" s="571" t="s">
        <v>2931</v>
      </c>
      <c r="H618" s="571" t="s">
        <v>20</v>
      </c>
      <c r="I618" s="571" t="s">
        <v>2931</v>
      </c>
      <c r="J618" s="571" t="s">
        <v>3644</v>
      </c>
      <c r="K618" s="574" t="s">
        <v>3803</v>
      </c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70"/>
      <c r="AH618" s="570"/>
      <c r="AI618" s="570"/>
      <c r="AJ618" s="570"/>
      <c r="AK618" s="570"/>
      <c r="AL618" s="570"/>
      <c r="AM618" s="570"/>
      <c r="AN618" s="570"/>
      <c r="AO618" s="570"/>
      <c r="AP618" s="570"/>
      <c r="AQ618" s="570"/>
      <c r="AR618" s="570"/>
      <c r="AS618" s="570"/>
      <c r="AT618" s="570"/>
      <c r="AU618" s="570"/>
    </row>
    <row r="619" spans="1:47" ht="15.75" customHeight="1">
      <c r="A619" s="571">
        <v>44482</v>
      </c>
      <c r="B619" s="572" t="s">
        <v>6466</v>
      </c>
      <c r="C619" s="561" t="s">
        <v>2929</v>
      </c>
      <c r="D619" s="561" t="s">
        <v>956</v>
      </c>
      <c r="E619" s="573">
        <v>3049.18</v>
      </c>
      <c r="F619" s="561" t="s">
        <v>3084</v>
      </c>
      <c r="G619" s="571" t="s">
        <v>2931</v>
      </c>
      <c r="H619" s="571" t="s">
        <v>20</v>
      </c>
      <c r="I619" s="571" t="s">
        <v>2931</v>
      </c>
      <c r="J619" s="571">
        <v>44124</v>
      </c>
      <c r="K619" s="574" t="s">
        <v>3803</v>
      </c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70"/>
      <c r="AH619" s="570"/>
      <c r="AI619" s="570"/>
      <c r="AJ619" s="570"/>
      <c r="AK619" s="570"/>
      <c r="AL619" s="570"/>
      <c r="AM619" s="570"/>
      <c r="AN619" s="570"/>
      <c r="AO619" s="570"/>
      <c r="AP619" s="570"/>
      <c r="AQ619" s="570"/>
      <c r="AR619" s="570"/>
      <c r="AS619" s="570"/>
      <c r="AT619" s="570"/>
      <c r="AU619" s="570"/>
    </row>
    <row r="620" spans="1:47" ht="15.75" customHeight="1">
      <c r="A620" s="571">
        <v>44482</v>
      </c>
      <c r="B620" s="572" t="s">
        <v>6465</v>
      </c>
      <c r="C620" s="561" t="s">
        <v>2929</v>
      </c>
      <c r="D620" s="561" t="s">
        <v>956</v>
      </c>
      <c r="E620" s="573">
        <v>693.98</v>
      </c>
      <c r="F620" s="561" t="s">
        <v>3086</v>
      </c>
      <c r="G620" s="571" t="s">
        <v>2931</v>
      </c>
      <c r="H620" s="571" t="s">
        <v>20</v>
      </c>
      <c r="I620" s="571" t="s">
        <v>2931</v>
      </c>
      <c r="J620" s="571">
        <v>44118</v>
      </c>
      <c r="K620" s="574" t="s">
        <v>3803</v>
      </c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70"/>
      <c r="AH620" s="570"/>
      <c r="AI620" s="570"/>
      <c r="AJ620" s="570"/>
      <c r="AK620" s="570"/>
      <c r="AL620" s="570"/>
      <c r="AM620" s="570"/>
      <c r="AN620" s="570"/>
      <c r="AO620" s="570"/>
      <c r="AP620" s="570"/>
      <c r="AQ620" s="570"/>
      <c r="AR620" s="570"/>
      <c r="AS620" s="570"/>
      <c r="AT620" s="570"/>
      <c r="AU620" s="570"/>
    </row>
    <row r="621" spans="1:47" ht="15.75" customHeight="1">
      <c r="A621" s="571">
        <v>44482</v>
      </c>
      <c r="B621" s="572" t="s">
        <v>6589</v>
      </c>
      <c r="C621" s="561" t="s">
        <v>2929</v>
      </c>
      <c r="D621" s="561" t="s">
        <v>956</v>
      </c>
      <c r="E621" s="573"/>
      <c r="F621" s="561" t="s">
        <v>3065</v>
      </c>
      <c r="G621" s="571" t="s">
        <v>2931</v>
      </c>
      <c r="H621" s="571" t="s">
        <v>20</v>
      </c>
      <c r="I621" s="571" t="s">
        <v>2938</v>
      </c>
      <c r="J621" s="571">
        <v>43609</v>
      </c>
      <c r="K621" s="574" t="s">
        <v>3817</v>
      </c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70"/>
      <c r="AH621" s="570"/>
      <c r="AI621" s="570"/>
      <c r="AJ621" s="570"/>
      <c r="AK621" s="570"/>
      <c r="AL621" s="570"/>
      <c r="AM621" s="570"/>
      <c r="AN621" s="570"/>
      <c r="AO621" s="570"/>
      <c r="AP621" s="570"/>
      <c r="AQ621" s="570"/>
      <c r="AR621" s="570"/>
      <c r="AS621" s="570"/>
      <c r="AT621" s="570"/>
      <c r="AU621" s="570"/>
    </row>
    <row r="622" spans="1:47" ht="15.75" customHeight="1">
      <c r="A622" s="571">
        <v>44482</v>
      </c>
      <c r="B622" s="572" t="s">
        <v>6590</v>
      </c>
      <c r="C622" s="561" t="s">
        <v>2929</v>
      </c>
      <c r="D622" s="561" t="s">
        <v>956</v>
      </c>
      <c r="E622" s="573"/>
      <c r="F622" s="561" t="s">
        <v>3065</v>
      </c>
      <c r="G622" s="571" t="s">
        <v>2931</v>
      </c>
      <c r="H622" s="571" t="s">
        <v>20</v>
      </c>
      <c r="I622" s="571" t="s">
        <v>2938</v>
      </c>
      <c r="J622" s="571">
        <v>43609</v>
      </c>
      <c r="K622" s="574" t="s">
        <v>3813</v>
      </c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70"/>
      <c r="AH622" s="570"/>
      <c r="AI622" s="570"/>
      <c r="AJ622" s="570"/>
      <c r="AK622" s="570"/>
      <c r="AL622" s="570"/>
      <c r="AM622" s="570"/>
      <c r="AN622" s="570"/>
      <c r="AO622" s="570"/>
      <c r="AP622" s="570"/>
      <c r="AQ622" s="570"/>
      <c r="AR622" s="570"/>
      <c r="AS622" s="570"/>
      <c r="AT622" s="570"/>
      <c r="AU622" s="570"/>
    </row>
    <row r="623" spans="1:47" ht="15.75" customHeight="1">
      <c r="A623" s="571">
        <v>44482</v>
      </c>
      <c r="B623" s="572" t="s">
        <v>6591</v>
      </c>
      <c r="C623" s="561" t="s">
        <v>2929</v>
      </c>
      <c r="D623" s="561" t="s">
        <v>956</v>
      </c>
      <c r="E623" s="573"/>
      <c r="F623" s="561"/>
      <c r="G623" s="571"/>
      <c r="H623" s="571"/>
      <c r="I623" s="571"/>
      <c r="J623" s="571"/>
      <c r="K623" s="574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70"/>
      <c r="AH623" s="570"/>
      <c r="AI623" s="570"/>
      <c r="AJ623" s="570"/>
      <c r="AK623" s="570"/>
      <c r="AL623" s="570"/>
      <c r="AM623" s="570"/>
      <c r="AN623" s="570"/>
      <c r="AO623" s="570"/>
      <c r="AP623" s="570"/>
      <c r="AQ623" s="570"/>
      <c r="AR623" s="570"/>
      <c r="AS623" s="570"/>
      <c r="AT623" s="570"/>
      <c r="AU623" s="570"/>
    </row>
    <row r="624" spans="1:47" ht="15.75" customHeight="1">
      <c r="A624" s="571">
        <v>44482</v>
      </c>
      <c r="B624" s="572" t="s">
        <v>6592</v>
      </c>
      <c r="C624" s="561" t="s">
        <v>2929</v>
      </c>
      <c r="D624" s="561" t="s">
        <v>956</v>
      </c>
      <c r="E624" s="573"/>
      <c r="F624" s="561" t="s">
        <v>2960</v>
      </c>
      <c r="G624" s="571" t="s">
        <v>2931</v>
      </c>
      <c r="H624" s="571" t="s">
        <v>20</v>
      </c>
      <c r="I624" s="571" t="s">
        <v>2932</v>
      </c>
      <c r="J624" s="571" t="s">
        <v>3644</v>
      </c>
      <c r="K624" s="574" t="s">
        <v>3803</v>
      </c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70"/>
      <c r="AH624" s="570"/>
      <c r="AI624" s="570"/>
      <c r="AJ624" s="570"/>
      <c r="AK624" s="570"/>
      <c r="AL624" s="570"/>
      <c r="AM624" s="570"/>
      <c r="AN624" s="570"/>
      <c r="AO624" s="570"/>
      <c r="AP624" s="570"/>
      <c r="AQ624" s="570"/>
      <c r="AR624" s="570"/>
      <c r="AS624" s="570"/>
      <c r="AT624" s="570"/>
      <c r="AU624" s="570"/>
    </row>
    <row r="625" spans="1:47" ht="15.75" customHeight="1">
      <c r="A625" s="571">
        <v>44482</v>
      </c>
      <c r="B625" s="572" t="s">
        <v>6437</v>
      </c>
      <c r="C625" s="561" t="s">
        <v>3793</v>
      </c>
      <c r="D625" s="561" t="s">
        <v>956</v>
      </c>
      <c r="E625" s="573">
        <v>0</v>
      </c>
      <c r="F625" s="561" t="s">
        <v>5245</v>
      </c>
      <c r="G625" s="561" t="s">
        <v>46</v>
      </c>
      <c r="H625" s="561" t="s">
        <v>20</v>
      </c>
      <c r="I625" s="561" t="s">
        <v>5246</v>
      </c>
      <c r="J625" s="571">
        <v>44105</v>
      </c>
      <c r="K625" s="577" t="s">
        <v>3817</v>
      </c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70"/>
      <c r="AH625" s="570"/>
      <c r="AI625" s="570"/>
      <c r="AJ625" s="570"/>
      <c r="AK625" s="570"/>
      <c r="AL625" s="570"/>
      <c r="AM625" s="570"/>
      <c r="AN625" s="570"/>
      <c r="AO625" s="570"/>
      <c r="AP625" s="570"/>
      <c r="AQ625" s="570"/>
      <c r="AR625" s="570"/>
      <c r="AS625" s="570"/>
      <c r="AT625" s="570"/>
      <c r="AU625" s="570"/>
    </row>
    <row r="626" spans="1:47" ht="15.75" customHeight="1">
      <c r="A626" s="575">
        <v>44483</v>
      </c>
      <c r="B626" s="603" t="s">
        <v>6405</v>
      </c>
      <c r="C626" s="561" t="s">
        <v>2929</v>
      </c>
      <c r="D626" s="561" t="s">
        <v>921</v>
      </c>
      <c r="E626" s="604">
        <v>73572.75</v>
      </c>
      <c r="F626" s="561" t="s">
        <v>3204</v>
      </c>
      <c r="G626" s="571" t="s">
        <v>2931</v>
      </c>
      <c r="H626" s="571" t="s">
        <v>20</v>
      </c>
      <c r="I626" s="571" t="s">
        <v>2932</v>
      </c>
      <c r="J626" s="571">
        <v>43875</v>
      </c>
      <c r="K626" s="574" t="s">
        <v>3813</v>
      </c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70"/>
      <c r="AH626" s="570"/>
      <c r="AI626" s="570"/>
      <c r="AJ626" s="570"/>
      <c r="AK626" s="570"/>
      <c r="AL626" s="570"/>
      <c r="AM626" s="570"/>
      <c r="AN626" s="570"/>
      <c r="AO626" s="570"/>
      <c r="AP626" s="570"/>
      <c r="AQ626" s="570"/>
      <c r="AR626" s="570"/>
      <c r="AS626" s="570"/>
      <c r="AT626" s="570"/>
      <c r="AU626" s="570"/>
    </row>
    <row r="627" spans="1:47" ht="15.75" customHeight="1">
      <c r="A627" s="575">
        <v>44483</v>
      </c>
      <c r="B627" s="603" t="s">
        <v>6411</v>
      </c>
      <c r="C627" s="561" t="s">
        <v>2929</v>
      </c>
      <c r="D627" s="561" t="s">
        <v>6343</v>
      </c>
      <c r="E627" s="600">
        <v>10000</v>
      </c>
      <c r="F627" s="561" t="s">
        <v>3264</v>
      </c>
      <c r="G627" s="571" t="s">
        <v>19</v>
      </c>
      <c r="H627" s="571" t="s">
        <v>35</v>
      </c>
      <c r="I627" s="571" t="s">
        <v>199</v>
      </c>
      <c r="J627" s="571">
        <v>44295</v>
      </c>
      <c r="K627" s="574" t="s">
        <v>3810</v>
      </c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70"/>
      <c r="AH627" s="570"/>
      <c r="AI627" s="570"/>
      <c r="AJ627" s="570"/>
      <c r="AK627" s="570"/>
      <c r="AL627" s="570"/>
      <c r="AM627" s="570"/>
      <c r="AN627" s="570"/>
      <c r="AO627" s="570"/>
      <c r="AP627" s="570"/>
      <c r="AQ627" s="570"/>
      <c r="AR627" s="570"/>
      <c r="AS627" s="570"/>
      <c r="AT627" s="570"/>
      <c r="AU627" s="570"/>
    </row>
    <row r="628" spans="1:47" ht="15.75" customHeight="1">
      <c r="A628" s="575">
        <v>44484</v>
      </c>
      <c r="B628" s="586" t="s">
        <v>6566</v>
      </c>
      <c r="C628" s="405" t="s">
        <v>2929</v>
      </c>
      <c r="D628" s="561" t="s">
        <v>956</v>
      </c>
      <c r="E628" s="600">
        <v>161212.56</v>
      </c>
      <c r="F628" s="561" t="s">
        <v>3193</v>
      </c>
      <c r="G628" s="571" t="s">
        <v>19</v>
      </c>
      <c r="H628" s="571" t="s">
        <v>35</v>
      </c>
      <c r="I628" s="571" t="s">
        <v>250</v>
      </c>
      <c r="J628" s="571">
        <v>44319</v>
      </c>
      <c r="K628" s="574" t="s">
        <v>3797</v>
      </c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70"/>
      <c r="AH628" s="570"/>
      <c r="AI628" s="570"/>
      <c r="AJ628" s="570"/>
      <c r="AK628" s="570"/>
      <c r="AL628" s="570"/>
      <c r="AM628" s="570"/>
      <c r="AN628" s="570"/>
      <c r="AO628" s="570"/>
      <c r="AP628" s="570"/>
      <c r="AQ628" s="570"/>
      <c r="AR628" s="570"/>
      <c r="AS628" s="570"/>
      <c r="AT628" s="570"/>
      <c r="AU628" s="570"/>
    </row>
    <row r="629" spans="1:47" ht="15.75" customHeight="1">
      <c r="A629" s="571">
        <v>44484</v>
      </c>
      <c r="B629" s="572" t="s">
        <v>6593</v>
      </c>
      <c r="C629" s="561" t="s">
        <v>2929</v>
      </c>
      <c r="D629" s="561" t="s">
        <v>956</v>
      </c>
      <c r="E629" s="573"/>
      <c r="F629" s="561" t="s">
        <v>3525</v>
      </c>
      <c r="G629" s="571" t="s">
        <v>2931</v>
      </c>
      <c r="H629" s="571" t="s">
        <v>20</v>
      </c>
      <c r="I629" s="571" t="s">
        <v>2938</v>
      </c>
      <c r="J629" s="571" t="s">
        <v>3644</v>
      </c>
      <c r="K629" s="574" t="s">
        <v>3813</v>
      </c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70"/>
      <c r="AH629" s="570"/>
      <c r="AI629" s="570"/>
      <c r="AJ629" s="570"/>
      <c r="AK629" s="570"/>
      <c r="AL629" s="570"/>
      <c r="AM629" s="570"/>
      <c r="AN629" s="570"/>
      <c r="AO629" s="570"/>
      <c r="AP629" s="570"/>
      <c r="AQ629" s="570"/>
      <c r="AR629" s="570"/>
      <c r="AS629" s="570"/>
      <c r="AT629" s="570"/>
      <c r="AU629" s="570"/>
    </row>
    <row r="630" spans="1:47" ht="15.75" customHeight="1">
      <c r="A630" s="571">
        <v>44484</v>
      </c>
      <c r="B630" s="572" t="s">
        <v>6594</v>
      </c>
      <c r="C630" s="561" t="s">
        <v>2929</v>
      </c>
      <c r="D630" s="561" t="s">
        <v>956</v>
      </c>
      <c r="E630" s="573"/>
      <c r="F630" s="561" t="s">
        <v>3525</v>
      </c>
      <c r="G630" s="571" t="s">
        <v>2931</v>
      </c>
      <c r="H630" s="571" t="s">
        <v>20</v>
      </c>
      <c r="I630" s="571" t="s">
        <v>2938</v>
      </c>
      <c r="J630" s="571" t="s">
        <v>3644</v>
      </c>
      <c r="K630" s="574" t="s">
        <v>3817</v>
      </c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70"/>
      <c r="AH630" s="570"/>
      <c r="AI630" s="570"/>
      <c r="AJ630" s="570"/>
      <c r="AK630" s="570"/>
      <c r="AL630" s="570"/>
      <c r="AM630" s="570"/>
      <c r="AN630" s="570"/>
      <c r="AO630" s="570"/>
      <c r="AP630" s="570"/>
      <c r="AQ630" s="570"/>
      <c r="AR630" s="570"/>
      <c r="AS630" s="570"/>
      <c r="AT630" s="570"/>
      <c r="AU630" s="570"/>
    </row>
    <row r="631" spans="1:47" ht="15.75" customHeight="1">
      <c r="A631" s="571">
        <v>44484</v>
      </c>
      <c r="B631" s="576" t="s">
        <v>6441</v>
      </c>
      <c r="C631" s="561" t="s">
        <v>2929</v>
      </c>
      <c r="D631" s="561" t="s">
        <v>956</v>
      </c>
      <c r="E631" s="573">
        <v>1.47</v>
      </c>
      <c r="F631" s="561" t="s">
        <v>3468</v>
      </c>
      <c r="G631" s="571" t="s">
        <v>2931</v>
      </c>
      <c r="H631" s="571" t="s">
        <v>20</v>
      </c>
      <c r="I631" s="571" t="s">
        <v>2938</v>
      </c>
      <c r="J631" s="571">
        <v>43861</v>
      </c>
      <c r="K631" s="574" t="s">
        <v>3813</v>
      </c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70"/>
      <c r="AH631" s="570"/>
      <c r="AI631" s="570"/>
      <c r="AJ631" s="570"/>
      <c r="AK631" s="570"/>
      <c r="AL631" s="570"/>
      <c r="AM631" s="570"/>
      <c r="AN631" s="570"/>
      <c r="AO631" s="570"/>
      <c r="AP631" s="570"/>
      <c r="AQ631" s="570"/>
      <c r="AR631" s="570"/>
      <c r="AS631" s="570"/>
      <c r="AT631" s="570"/>
      <c r="AU631" s="570"/>
    </row>
    <row r="632" spans="1:47" ht="15.75" customHeight="1">
      <c r="A632" s="571">
        <v>44484</v>
      </c>
      <c r="B632" s="572" t="s">
        <v>6402</v>
      </c>
      <c r="C632" s="561" t="s">
        <v>2929</v>
      </c>
      <c r="D632" s="561" t="s">
        <v>956</v>
      </c>
      <c r="E632" s="573">
        <v>2.93</v>
      </c>
      <c r="F632" s="561" t="s">
        <v>3380</v>
      </c>
      <c r="G632" s="571" t="s">
        <v>2931</v>
      </c>
      <c r="H632" s="571" t="s">
        <v>20</v>
      </c>
      <c r="I632" s="571" t="s">
        <v>2938</v>
      </c>
      <c r="J632" s="571">
        <v>43622</v>
      </c>
      <c r="K632" s="574" t="s">
        <v>3813</v>
      </c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70"/>
      <c r="AH632" s="570"/>
      <c r="AI632" s="570"/>
      <c r="AJ632" s="570"/>
      <c r="AK632" s="570"/>
      <c r="AL632" s="570"/>
      <c r="AM632" s="570"/>
      <c r="AN632" s="570"/>
      <c r="AO632" s="570"/>
      <c r="AP632" s="570"/>
      <c r="AQ632" s="570"/>
      <c r="AR632" s="570"/>
      <c r="AS632" s="570"/>
      <c r="AT632" s="570"/>
      <c r="AU632" s="570"/>
    </row>
    <row r="633" spans="1:47" ht="15.75" customHeight="1">
      <c r="A633" s="571">
        <v>44484</v>
      </c>
      <c r="B633" s="572" t="s">
        <v>6595</v>
      </c>
      <c r="C633" s="561" t="s">
        <v>2929</v>
      </c>
      <c r="D633" s="561" t="s">
        <v>956</v>
      </c>
      <c r="E633" s="573"/>
      <c r="F633" s="561" t="s">
        <v>3380</v>
      </c>
      <c r="G633" s="571" t="s">
        <v>2931</v>
      </c>
      <c r="H633" s="571" t="s">
        <v>20</v>
      </c>
      <c r="I633" s="571" t="s">
        <v>2938</v>
      </c>
      <c r="J633" s="571">
        <v>43622</v>
      </c>
      <c r="K633" s="574" t="s">
        <v>3803</v>
      </c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70"/>
      <c r="AH633" s="570"/>
      <c r="AI633" s="570"/>
      <c r="AJ633" s="570"/>
      <c r="AK633" s="570"/>
      <c r="AL633" s="570"/>
      <c r="AM633" s="570"/>
      <c r="AN633" s="570"/>
      <c r="AO633" s="570"/>
      <c r="AP633" s="570"/>
      <c r="AQ633" s="570"/>
      <c r="AR633" s="570"/>
      <c r="AS633" s="570"/>
      <c r="AT633" s="570"/>
      <c r="AU633" s="570"/>
    </row>
    <row r="634" spans="1:47" ht="15.75" customHeight="1">
      <c r="A634" s="571">
        <v>44484</v>
      </c>
      <c r="B634" s="576" t="s">
        <v>6484</v>
      </c>
      <c r="C634" s="561" t="s">
        <v>2929</v>
      </c>
      <c r="D634" s="561" t="s">
        <v>956</v>
      </c>
      <c r="E634" s="573">
        <v>0.22</v>
      </c>
      <c r="F634" s="561" t="s">
        <v>3352</v>
      </c>
      <c r="G634" s="571" t="s">
        <v>2931</v>
      </c>
      <c r="H634" s="571" t="s">
        <v>20</v>
      </c>
      <c r="I634" s="571" t="s">
        <v>2931</v>
      </c>
      <c r="J634" s="571">
        <v>44036</v>
      </c>
      <c r="K634" s="574" t="s">
        <v>3813</v>
      </c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70"/>
      <c r="AH634" s="570"/>
      <c r="AI634" s="570"/>
      <c r="AJ634" s="570"/>
      <c r="AK634" s="570"/>
      <c r="AL634" s="570"/>
      <c r="AM634" s="570"/>
      <c r="AN634" s="570"/>
      <c r="AO634" s="570"/>
      <c r="AP634" s="570"/>
      <c r="AQ634" s="570"/>
      <c r="AR634" s="570"/>
      <c r="AS634" s="570"/>
      <c r="AT634" s="570"/>
      <c r="AU634" s="570"/>
    </row>
    <row r="635" spans="1:47" ht="15.75" customHeight="1">
      <c r="A635" s="571">
        <v>44484</v>
      </c>
      <c r="B635" s="572" t="s">
        <v>6596</v>
      </c>
      <c r="C635" s="561" t="s">
        <v>2929</v>
      </c>
      <c r="D635" s="561" t="s">
        <v>956</v>
      </c>
      <c r="E635" s="573"/>
      <c r="F635" s="561" t="s">
        <v>3317</v>
      </c>
      <c r="G635" s="571" t="s">
        <v>2931</v>
      </c>
      <c r="H635" s="571" t="s">
        <v>20</v>
      </c>
      <c r="I635" s="571" t="s">
        <v>2938</v>
      </c>
      <c r="J635" s="571" t="s">
        <v>3644</v>
      </c>
      <c r="K635" s="574" t="s">
        <v>3813</v>
      </c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70"/>
      <c r="AH635" s="570"/>
      <c r="AI635" s="570"/>
      <c r="AJ635" s="570"/>
      <c r="AK635" s="570"/>
      <c r="AL635" s="570"/>
      <c r="AM635" s="570"/>
      <c r="AN635" s="570"/>
      <c r="AO635" s="570"/>
      <c r="AP635" s="570"/>
      <c r="AQ635" s="570"/>
      <c r="AR635" s="570"/>
      <c r="AS635" s="570"/>
      <c r="AT635" s="570"/>
      <c r="AU635" s="570"/>
    </row>
    <row r="636" spans="1:47" ht="15.75" customHeight="1">
      <c r="A636" s="571">
        <v>44484</v>
      </c>
      <c r="B636" s="576" t="s">
        <v>6380</v>
      </c>
      <c r="C636" s="561" t="s">
        <v>2929</v>
      </c>
      <c r="D636" s="561" t="s">
        <v>956</v>
      </c>
      <c r="E636" s="573">
        <v>146.69</v>
      </c>
      <c r="F636" s="561" t="s">
        <v>3298</v>
      </c>
      <c r="G636" s="571" t="s">
        <v>2931</v>
      </c>
      <c r="H636" s="571" t="s">
        <v>20</v>
      </c>
      <c r="I636" s="571" t="s">
        <v>2932</v>
      </c>
      <c r="J636" s="571">
        <v>43732</v>
      </c>
      <c r="K636" s="574" t="s">
        <v>4196</v>
      </c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70"/>
      <c r="AH636" s="570"/>
      <c r="AI636" s="570"/>
      <c r="AJ636" s="570"/>
      <c r="AK636" s="570"/>
      <c r="AL636" s="570"/>
      <c r="AM636" s="570"/>
      <c r="AN636" s="570"/>
      <c r="AO636" s="570"/>
      <c r="AP636" s="570"/>
      <c r="AQ636" s="570"/>
      <c r="AR636" s="570"/>
      <c r="AS636" s="570"/>
      <c r="AT636" s="570"/>
      <c r="AU636" s="570"/>
    </row>
    <row r="637" spans="1:47" ht="15.75" customHeight="1">
      <c r="A637" s="571">
        <v>44484</v>
      </c>
      <c r="B637" s="572" t="s">
        <v>6597</v>
      </c>
      <c r="C637" s="561" t="s">
        <v>2929</v>
      </c>
      <c r="D637" s="561" t="s">
        <v>956</v>
      </c>
      <c r="E637" s="573">
        <v>78</v>
      </c>
      <c r="F637" s="561" t="s">
        <v>3262</v>
      </c>
      <c r="G637" s="571" t="s">
        <v>2931</v>
      </c>
      <c r="H637" s="571" t="s">
        <v>20</v>
      </c>
      <c r="I637" s="571" t="s">
        <v>2938</v>
      </c>
      <c r="J637" s="571">
        <v>43853</v>
      </c>
      <c r="K637" s="574" t="s">
        <v>3803</v>
      </c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70"/>
      <c r="AH637" s="570"/>
      <c r="AI637" s="570"/>
      <c r="AJ637" s="570"/>
      <c r="AK637" s="570"/>
      <c r="AL637" s="570"/>
      <c r="AM637" s="570"/>
      <c r="AN637" s="570"/>
      <c r="AO637" s="570"/>
      <c r="AP637" s="570"/>
      <c r="AQ637" s="570"/>
      <c r="AR637" s="570"/>
      <c r="AS637" s="570"/>
      <c r="AT637" s="570"/>
      <c r="AU637" s="570"/>
    </row>
    <row r="638" spans="1:47" ht="15.75" customHeight="1">
      <c r="A638" s="575">
        <v>44488</v>
      </c>
      <c r="B638" s="605" t="s">
        <v>6598</v>
      </c>
      <c r="C638" s="405" t="s">
        <v>3793</v>
      </c>
      <c r="D638" s="561" t="s">
        <v>921</v>
      </c>
      <c r="E638" s="600">
        <v>44080.95</v>
      </c>
      <c r="F638" s="561" t="s">
        <v>4268</v>
      </c>
      <c r="G638" s="561" t="s">
        <v>46</v>
      </c>
      <c r="H638" s="561" t="s">
        <v>20</v>
      </c>
      <c r="I638" s="561" t="s">
        <v>6599</v>
      </c>
      <c r="J638" s="571">
        <v>44537</v>
      </c>
      <c r="K638" s="577" t="s">
        <v>3797</v>
      </c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70"/>
      <c r="AH638" s="570"/>
      <c r="AI638" s="570"/>
      <c r="AJ638" s="570"/>
      <c r="AK638" s="570"/>
      <c r="AL638" s="570"/>
      <c r="AM638" s="570"/>
      <c r="AN638" s="570"/>
      <c r="AO638" s="570"/>
      <c r="AP638" s="570"/>
      <c r="AQ638" s="570"/>
      <c r="AR638" s="570"/>
      <c r="AS638" s="570"/>
      <c r="AT638" s="570"/>
      <c r="AU638" s="570"/>
    </row>
    <row r="639" spans="1:47" ht="15.75" customHeight="1">
      <c r="A639" s="575">
        <v>44489</v>
      </c>
      <c r="B639" s="603" t="s">
        <v>6578</v>
      </c>
      <c r="C639" s="405" t="s">
        <v>2929</v>
      </c>
      <c r="D639" s="561" t="s">
        <v>6343</v>
      </c>
      <c r="E639" s="600">
        <v>70000</v>
      </c>
      <c r="F639" s="561" t="s">
        <v>3093</v>
      </c>
      <c r="G639" s="571" t="s">
        <v>19</v>
      </c>
      <c r="H639" s="571" t="s">
        <v>35</v>
      </c>
      <c r="I639" s="571" t="s">
        <v>250</v>
      </c>
      <c r="J639" s="571">
        <v>44393</v>
      </c>
      <c r="K639" s="574" t="s">
        <v>4340</v>
      </c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70"/>
      <c r="AH639" s="570"/>
      <c r="AI639" s="570"/>
      <c r="AJ639" s="570"/>
      <c r="AK639" s="570"/>
      <c r="AL639" s="570"/>
      <c r="AM639" s="570"/>
      <c r="AN639" s="570"/>
      <c r="AO639" s="570"/>
      <c r="AP639" s="570"/>
      <c r="AQ639" s="570"/>
      <c r="AR639" s="570"/>
      <c r="AS639" s="570"/>
      <c r="AT639" s="570"/>
      <c r="AU639" s="570"/>
    </row>
    <row r="640" spans="1:47" ht="15.75" customHeight="1">
      <c r="A640" s="575">
        <v>44489</v>
      </c>
      <c r="B640" s="603" t="s">
        <v>6600</v>
      </c>
      <c r="C640" s="405" t="s">
        <v>3793</v>
      </c>
      <c r="D640" s="561" t="s">
        <v>6343</v>
      </c>
      <c r="E640" s="600">
        <v>100000</v>
      </c>
      <c r="F640" s="606" t="s">
        <v>3262</v>
      </c>
      <c r="G640" s="561" t="s">
        <v>2931</v>
      </c>
      <c r="H640" s="561" t="s">
        <v>20</v>
      </c>
      <c r="I640" s="561" t="s">
        <v>2931</v>
      </c>
      <c r="J640" s="561" t="s">
        <v>6601</v>
      </c>
      <c r="K640" s="577" t="s">
        <v>3813</v>
      </c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70"/>
      <c r="AH640" s="570"/>
      <c r="AI640" s="570"/>
      <c r="AJ640" s="570"/>
      <c r="AK640" s="570"/>
      <c r="AL640" s="570"/>
      <c r="AM640" s="570"/>
      <c r="AN640" s="570"/>
      <c r="AO640" s="570"/>
      <c r="AP640" s="570"/>
      <c r="AQ640" s="570"/>
      <c r="AR640" s="570"/>
      <c r="AS640" s="570"/>
      <c r="AT640" s="570"/>
      <c r="AU640" s="570"/>
    </row>
    <row r="641" spans="1:47" ht="15.75" customHeight="1">
      <c r="A641" s="575">
        <v>44489</v>
      </c>
      <c r="B641" s="583" t="s">
        <v>6602</v>
      </c>
      <c r="C641" s="405" t="s">
        <v>3793</v>
      </c>
      <c r="D641" s="561" t="s">
        <v>956</v>
      </c>
      <c r="E641" s="600">
        <v>90625.34</v>
      </c>
      <c r="F641" s="561" t="s">
        <v>5082</v>
      </c>
      <c r="G641" s="561" t="s">
        <v>19</v>
      </c>
      <c r="H641" s="561" t="s">
        <v>66</v>
      </c>
      <c r="I641" s="561" t="s">
        <v>316</v>
      </c>
      <c r="J641" s="571">
        <v>44362</v>
      </c>
      <c r="K641" s="577" t="s">
        <v>3797</v>
      </c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70"/>
      <c r="AH641" s="570"/>
      <c r="AI641" s="570"/>
      <c r="AJ641" s="570"/>
      <c r="AK641" s="570"/>
      <c r="AL641" s="570"/>
      <c r="AM641" s="570"/>
      <c r="AN641" s="570"/>
      <c r="AO641" s="570"/>
      <c r="AP641" s="570"/>
      <c r="AQ641" s="570"/>
      <c r="AR641" s="570"/>
      <c r="AS641" s="570"/>
      <c r="AT641" s="570"/>
      <c r="AU641" s="570"/>
    </row>
    <row r="642" spans="1:47" ht="15.75" customHeight="1">
      <c r="A642" s="575">
        <v>44490</v>
      </c>
      <c r="B642" s="605" t="s">
        <v>6444</v>
      </c>
      <c r="C642" s="405" t="s">
        <v>3793</v>
      </c>
      <c r="D642" s="561" t="s">
        <v>6343</v>
      </c>
      <c r="E642" s="600">
        <v>16000</v>
      </c>
      <c r="F642" s="561" t="s">
        <v>5095</v>
      </c>
      <c r="G642" s="561" t="s">
        <v>46</v>
      </c>
      <c r="H642" s="561" t="s">
        <v>20</v>
      </c>
      <c r="I642" s="561" t="s">
        <v>4480</v>
      </c>
      <c r="J642" s="571">
        <v>44180</v>
      </c>
      <c r="K642" s="577" t="s">
        <v>3803</v>
      </c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70"/>
      <c r="AH642" s="570"/>
      <c r="AI642" s="570"/>
      <c r="AJ642" s="570"/>
      <c r="AK642" s="570"/>
      <c r="AL642" s="570"/>
      <c r="AM642" s="570"/>
      <c r="AN642" s="570"/>
      <c r="AO642" s="570"/>
      <c r="AP642" s="570"/>
      <c r="AQ642" s="570"/>
      <c r="AR642" s="570"/>
      <c r="AS642" s="570"/>
      <c r="AT642" s="570"/>
      <c r="AU642" s="570"/>
    </row>
    <row r="643" spans="1:47" ht="15.75" customHeight="1">
      <c r="A643" s="575">
        <v>44490</v>
      </c>
      <c r="B643" s="607" t="s">
        <v>6603</v>
      </c>
      <c r="C643" s="405" t="s">
        <v>3793</v>
      </c>
      <c r="D643" s="561" t="s">
        <v>956</v>
      </c>
      <c r="E643" s="600">
        <v>661576.63</v>
      </c>
      <c r="F643" s="561" t="s">
        <v>5347</v>
      </c>
      <c r="G643" s="561" t="s">
        <v>46</v>
      </c>
      <c r="H643" s="561" t="s">
        <v>20</v>
      </c>
      <c r="I643" s="561" t="s">
        <v>4136</v>
      </c>
      <c r="J643" s="571">
        <v>44490</v>
      </c>
      <c r="K643" s="577" t="s">
        <v>3797</v>
      </c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70"/>
      <c r="AH643" s="570"/>
      <c r="AI643" s="570"/>
      <c r="AJ643" s="570"/>
      <c r="AK643" s="570"/>
      <c r="AL643" s="570"/>
      <c r="AM643" s="570"/>
      <c r="AN643" s="570"/>
      <c r="AO643" s="570"/>
      <c r="AP643" s="570"/>
      <c r="AQ643" s="570"/>
      <c r="AR643" s="570"/>
      <c r="AS643" s="570"/>
      <c r="AT643" s="570"/>
      <c r="AU643" s="570"/>
    </row>
    <row r="644" spans="1:47" ht="15.75" customHeight="1">
      <c r="A644" s="575">
        <v>44490</v>
      </c>
      <c r="B644" s="572" t="s">
        <v>6418</v>
      </c>
      <c r="C644" s="405" t="s">
        <v>2929</v>
      </c>
      <c r="D644" s="561" t="s">
        <v>956</v>
      </c>
      <c r="E644" s="600">
        <v>1915</v>
      </c>
      <c r="F644" s="561" t="s">
        <v>3020</v>
      </c>
      <c r="G644" s="571" t="s">
        <v>2931</v>
      </c>
      <c r="H644" s="571" t="s">
        <v>20</v>
      </c>
      <c r="I644" s="571" t="s">
        <v>2932</v>
      </c>
      <c r="J644" s="571">
        <v>43725</v>
      </c>
      <c r="K644" s="574" t="s">
        <v>4196</v>
      </c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70"/>
      <c r="AH644" s="570"/>
      <c r="AI644" s="570"/>
      <c r="AJ644" s="570"/>
      <c r="AK644" s="570"/>
      <c r="AL644" s="570"/>
      <c r="AM644" s="570"/>
      <c r="AN644" s="570"/>
      <c r="AO644" s="570"/>
      <c r="AP644" s="570"/>
      <c r="AQ644" s="570"/>
      <c r="AR644" s="570"/>
      <c r="AS644" s="570"/>
      <c r="AT644" s="570"/>
      <c r="AU644" s="570"/>
    </row>
    <row r="645" spans="1:47" ht="15.75" customHeight="1">
      <c r="A645" s="575">
        <v>44490</v>
      </c>
      <c r="B645" s="583" t="s">
        <v>6365</v>
      </c>
      <c r="C645" s="405" t="s">
        <v>2929</v>
      </c>
      <c r="D645" s="561" t="s">
        <v>6343</v>
      </c>
      <c r="E645" s="600">
        <v>3000</v>
      </c>
      <c r="F645" s="561" t="s">
        <v>3452</v>
      </c>
      <c r="G645" s="571" t="s">
        <v>2931</v>
      </c>
      <c r="H645" s="571" t="s">
        <v>20</v>
      </c>
      <c r="I645" s="571" t="s">
        <v>2932</v>
      </c>
      <c r="J645" s="571">
        <v>43894</v>
      </c>
      <c r="K645" s="574" t="s">
        <v>3813</v>
      </c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70"/>
      <c r="AH645" s="570"/>
      <c r="AI645" s="570"/>
      <c r="AJ645" s="570"/>
      <c r="AK645" s="570"/>
      <c r="AL645" s="570"/>
      <c r="AM645" s="570"/>
      <c r="AN645" s="570"/>
      <c r="AO645" s="570"/>
      <c r="AP645" s="570"/>
      <c r="AQ645" s="570"/>
      <c r="AR645" s="570"/>
      <c r="AS645" s="570"/>
      <c r="AT645" s="570"/>
      <c r="AU645" s="570"/>
    </row>
    <row r="646" spans="1:47" ht="15.75" customHeight="1">
      <c r="A646" s="575">
        <v>44494</v>
      </c>
      <c r="B646" s="608" t="s">
        <v>6604</v>
      </c>
      <c r="C646" s="405" t="s">
        <v>3793</v>
      </c>
      <c r="D646" s="561" t="s">
        <v>956</v>
      </c>
      <c r="E646" s="600">
        <v>792665.02</v>
      </c>
      <c r="F646" s="561" t="s">
        <v>4452</v>
      </c>
      <c r="G646" s="561" t="s">
        <v>46</v>
      </c>
      <c r="H646" s="561" t="s">
        <v>20</v>
      </c>
      <c r="I646" s="561" t="s">
        <v>4112</v>
      </c>
      <c r="J646" s="571">
        <v>44368</v>
      </c>
      <c r="K646" s="577" t="s">
        <v>3817</v>
      </c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70"/>
      <c r="AH646" s="570"/>
      <c r="AI646" s="570"/>
      <c r="AJ646" s="570"/>
      <c r="AK646" s="570"/>
      <c r="AL646" s="570"/>
      <c r="AM646" s="570"/>
      <c r="AN646" s="570"/>
      <c r="AO646" s="570"/>
      <c r="AP646" s="570"/>
      <c r="AQ646" s="570"/>
      <c r="AR646" s="570"/>
      <c r="AS646" s="570"/>
      <c r="AT646" s="570"/>
      <c r="AU646" s="570"/>
    </row>
    <row r="647" spans="1:47" ht="15.75" customHeight="1">
      <c r="A647" s="575">
        <v>44494</v>
      </c>
      <c r="B647" s="583" t="s">
        <v>6411</v>
      </c>
      <c r="C647" s="405" t="s">
        <v>2929</v>
      </c>
      <c r="D647" s="561" t="s">
        <v>6343</v>
      </c>
      <c r="E647" s="600">
        <v>10000</v>
      </c>
      <c r="F647" s="561" t="s">
        <v>3264</v>
      </c>
      <c r="G647" s="571" t="s">
        <v>19</v>
      </c>
      <c r="H647" s="571" t="s">
        <v>35</v>
      </c>
      <c r="I647" s="571" t="s">
        <v>199</v>
      </c>
      <c r="J647" s="571">
        <v>44295</v>
      </c>
      <c r="K647" s="574" t="s">
        <v>3810</v>
      </c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70"/>
      <c r="AH647" s="570"/>
      <c r="AI647" s="570"/>
      <c r="AJ647" s="570"/>
      <c r="AK647" s="570"/>
      <c r="AL647" s="570"/>
      <c r="AM647" s="570"/>
      <c r="AN647" s="570"/>
      <c r="AO647" s="570"/>
      <c r="AP647" s="570"/>
      <c r="AQ647" s="570"/>
      <c r="AR647" s="570"/>
      <c r="AS647" s="570"/>
      <c r="AT647" s="570"/>
      <c r="AU647" s="570"/>
    </row>
    <row r="648" spans="1:47" ht="15.75" customHeight="1">
      <c r="A648" s="575">
        <v>44494</v>
      </c>
      <c r="B648" s="583" t="s">
        <v>6351</v>
      </c>
      <c r="C648" s="405" t="s">
        <v>2929</v>
      </c>
      <c r="D648" s="561" t="s">
        <v>6343</v>
      </c>
      <c r="E648" s="600">
        <v>12000</v>
      </c>
      <c r="F648" s="561" t="s">
        <v>3235</v>
      </c>
      <c r="G648" s="571" t="s">
        <v>2931</v>
      </c>
      <c r="H648" s="571" t="s">
        <v>20</v>
      </c>
      <c r="I648" s="571" t="s">
        <v>2932</v>
      </c>
      <c r="J648" s="571">
        <v>43605</v>
      </c>
      <c r="K648" s="574" t="s">
        <v>3813</v>
      </c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70"/>
      <c r="AH648" s="570"/>
      <c r="AI648" s="570"/>
      <c r="AJ648" s="570"/>
      <c r="AK648" s="570"/>
      <c r="AL648" s="570"/>
      <c r="AM648" s="570"/>
      <c r="AN648" s="570"/>
      <c r="AO648" s="570"/>
      <c r="AP648" s="570"/>
      <c r="AQ648" s="570"/>
      <c r="AR648" s="570"/>
      <c r="AS648" s="570"/>
      <c r="AT648" s="570"/>
      <c r="AU648" s="570"/>
    </row>
    <row r="649" spans="1:47" ht="15.75" customHeight="1">
      <c r="A649" s="575">
        <v>44494</v>
      </c>
      <c r="B649" s="583" t="s">
        <v>6605</v>
      </c>
      <c r="C649" s="405" t="s">
        <v>2929</v>
      </c>
      <c r="D649" s="561" t="s">
        <v>6343</v>
      </c>
      <c r="E649" s="600">
        <v>33000</v>
      </c>
      <c r="F649" s="561" t="s">
        <v>727</v>
      </c>
      <c r="G649" s="561" t="s">
        <v>19</v>
      </c>
      <c r="H649" s="561" t="s">
        <v>35</v>
      </c>
      <c r="I649" s="561" t="s">
        <v>2979</v>
      </c>
      <c r="J649" s="571">
        <v>44383</v>
      </c>
      <c r="K649" s="577" t="s">
        <v>3813</v>
      </c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70"/>
      <c r="AH649" s="570"/>
      <c r="AI649" s="570"/>
      <c r="AJ649" s="570"/>
      <c r="AK649" s="570"/>
      <c r="AL649" s="570"/>
      <c r="AM649" s="570"/>
      <c r="AN649" s="570"/>
      <c r="AO649" s="570"/>
      <c r="AP649" s="570"/>
      <c r="AQ649" s="570"/>
      <c r="AR649" s="570"/>
      <c r="AS649" s="570"/>
      <c r="AT649" s="570"/>
      <c r="AU649" s="570"/>
    </row>
    <row r="650" spans="1:47" ht="15.75" customHeight="1">
      <c r="A650" s="575">
        <v>44494</v>
      </c>
      <c r="B650" s="583" t="s">
        <v>6477</v>
      </c>
      <c r="C650" s="405" t="s">
        <v>2929</v>
      </c>
      <c r="D650" s="561" t="s">
        <v>6343</v>
      </c>
      <c r="E650" s="600">
        <v>10000</v>
      </c>
      <c r="F650" s="561" t="s">
        <v>3472</v>
      </c>
      <c r="G650" s="571" t="s">
        <v>19</v>
      </c>
      <c r="H650" s="571" t="s">
        <v>35</v>
      </c>
      <c r="I650" s="571" t="s">
        <v>250</v>
      </c>
      <c r="J650" s="571">
        <v>44319</v>
      </c>
      <c r="K650" s="574" t="s">
        <v>3803</v>
      </c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70"/>
      <c r="AH650" s="570"/>
      <c r="AI650" s="570"/>
      <c r="AJ650" s="570"/>
      <c r="AK650" s="570"/>
      <c r="AL650" s="570"/>
      <c r="AM650" s="570"/>
      <c r="AN650" s="570"/>
      <c r="AO650" s="570"/>
      <c r="AP650" s="570"/>
      <c r="AQ650" s="570"/>
      <c r="AR650" s="570"/>
      <c r="AS650" s="570"/>
      <c r="AT650" s="570"/>
      <c r="AU650" s="570"/>
    </row>
    <row r="651" spans="1:47" ht="15.75" customHeight="1">
      <c r="A651" s="575">
        <v>44495</v>
      </c>
      <c r="B651" s="607" t="s">
        <v>6606</v>
      </c>
      <c r="C651" s="405" t="s">
        <v>3793</v>
      </c>
      <c r="D651" s="561" t="s">
        <v>956</v>
      </c>
      <c r="E651" s="600">
        <v>295388.82</v>
      </c>
      <c r="F651" s="561" t="s">
        <v>4724</v>
      </c>
      <c r="G651" s="561" t="s">
        <v>46</v>
      </c>
      <c r="H651" s="561" t="s">
        <v>20</v>
      </c>
      <c r="I651" s="561" t="s">
        <v>4066</v>
      </c>
      <c r="J651" s="571">
        <v>44111</v>
      </c>
      <c r="K651" s="577" t="s">
        <v>3797</v>
      </c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70"/>
      <c r="AH651" s="570"/>
      <c r="AI651" s="570"/>
      <c r="AJ651" s="570"/>
      <c r="AK651" s="570"/>
      <c r="AL651" s="570"/>
      <c r="AM651" s="570"/>
      <c r="AN651" s="570"/>
      <c r="AO651" s="570"/>
      <c r="AP651" s="570"/>
      <c r="AQ651" s="570"/>
      <c r="AR651" s="570"/>
      <c r="AS651" s="570"/>
      <c r="AT651" s="570"/>
      <c r="AU651" s="570"/>
    </row>
    <row r="652" spans="1:47" ht="15.75" customHeight="1">
      <c r="A652" s="575">
        <v>44495</v>
      </c>
      <c r="B652" s="583" t="s">
        <v>6467</v>
      </c>
      <c r="C652" s="405" t="s">
        <v>2929</v>
      </c>
      <c r="D652" s="561" t="s">
        <v>6343</v>
      </c>
      <c r="E652" s="600">
        <v>14000</v>
      </c>
      <c r="F652" s="561" t="s">
        <v>2305</v>
      </c>
      <c r="G652" s="571" t="s">
        <v>19</v>
      </c>
      <c r="H652" s="571" t="s">
        <v>35</v>
      </c>
      <c r="I652" s="571" t="s">
        <v>199</v>
      </c>
      <c r="J652" s="571">
        <v>44280</v>
      </c>
      <c r="K652" s="574" t="s">
        <v>3803</v>
      </c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70"/>
      <c r="AH652" s="570"/>
      <c r="AI652" s="570"/>
      <c r="AJ652" s="570"/>
      <c r="AK652" s="570"/>
      <c r="AL652" s="570"/>
      <c r="AM652" s="570"/>
      <c r="AN652" s="570"/>
      <c r="AO652" s="570"/>
      <c r="AP652" s="570"/>
      <c r="AQ652" s="570"/>
      <c r="AR652" s="570"/>
      <c r="AS652" s="570"/>
      <c r="AT652" s="570"/>
      <c r="AU652" s="570"/>
    </row>
    <row r="653" spans="1:47" ht="15.75" customHeight="1">
      <c r="A653" s="575">
        <v>44497</v>
      </c>
      <c r="B653" s="583" t="s">
        <v>6476</v>
      </c>
      <c r="C653" s="405" t="s">
        <v>2929</v>
      </c>
      <c r="D653" s="561" t="s">
        <v>6343</v>
      </c>
      <c r="E653" s="600">
        <v>40000</v>
      </c>
      <c r="F653" s="561" t="s">
        <v>3245</v>
      </c>
      <c r="G653" s="571" t="s">
        <v>19</v>
      </c>
      <c r="H653" s="571" t="s">
        <v>35</v>
      </c>
      <c r="I653" s="571" t="s">
        <v>2979</v>
      </c>
      <c r="J653" s="571">
        <v>44266</v>
      </c>
      <c r="K653" s="574" t="s">
        <v>3813</v>
      </c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70"/>
      <c r="AH653" s="570"/>
      <c r="AI653" s="570"/>
      <c r="AJ653" s="570"/>
      <c r="AK653" s="570"/>
      <c r="AL653" s="570"/>
      <c r="AM653" s="570"/>
      <c r="AN653" s="570"/>
      <c r="AO653" s="570"/>
      <c r="AP653" s="570"/>
      <c r="AQ653" s="570"/>
      <c r="AR653" s="570"/>
      <c r="AS653" s="570"/>
      <c r="AT653" s="570"/>
      <c r="AU653" s="570"/>
    </row>
    <row r="654" spans="1:47" ht="15.75" customHeight="1">
      <c r="A654" s="575">
        <v>44497</v>
      </c>
      <c r="B654" s="607" t="s">
        <v>6607</v>
      </c>
      <c r="C654" s="405" t="s">
        <v>3793</v>
      </c>
      <c r="D654" s="561" t="s">
        <v>956</v>
      </c>
      <c r="E654" s="600">
        <v>142605.94</v>
      </c>
      <c r="F654" s="561" t="s">
        <v>5212</v>
      </c>
      <c r="G654" s="561" t="s">
        <v>19</v>
      </c>
      <c r="H654" s="561" t="s">
        <v>20</v>
      </c>
      <c r="I654" s="561" t="s">
        <v>5214</v>
      </c>
      <c r="J654" s="571">
        <v>44271</v>
      </c>
      <c r="K654" s="577" t="s">
        <v>3850</v>
      </c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70"/>
      <c r="AH654" s="570"/>
      <c r="AI654" s="570"/>
      <c r="AJ654" s="570"/>
      <c r="AK654" s="570"/>
      <c r="AL654" s="570"/>
      <c r="AM654" s="570"/>
      <c r="AN654" s="570"/>
      <c r="AO654" s="570"/>
      <c r="AP654" s="570"/>
      <c r="AQ654" s="570"/>
      <c r="AR654" s="570"/>
      <c r="AS654" s="570"/>
      <c r="AT654" s="570"/>
      <c r="AU654" s="570"/>
    </row>
    <row r="655" spans="1:47" ht="15.75" customHeight="1">
      <c r="A655" s="575">
        <v>44497</v>
      </c>
      <c r="B655" s="607" t="s">
        <v>6608</v>
      </c>
      <c r="C655" s="405" t="s">
        <v>3793</v>
      </c>
      <c r="D655" s="561" t="s">
        <v>956</v>
      </c>
      <c r="E655" s="600">
        <v>148678.48000000001</v>
      </c>
      <c r="F655" s="561" t="s">
        <v>5212</v>
      </c>
      <c r="G655" s="561" t="s">
        <v>19</v>
      </c>
      <c r="H655" s="561" t="s">
        <v>20</v>
      </c>
      <c r="I655" s="561" t="s">
        <v>3801</v>
      </c>
      <c r="J655" s="571">
        <v>44272</v>
      </c>
      <c r="K655" s="577" t="s">
        <v>3813</v>
      </c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70"/>
      <c r="AH655" s="570"/>
      <c r="AI655" s="570"/>
      <c r="AJ655" s="570"/>
      <c r="AK655" s="570"/>
      <c r="AL655" s="570"/>
      <c r="AM655" s="570"/>
      <c r="AN655" s="570"/>
      <c r="AO655" s="570"/>
      <c r="AP655" s="570"/>
      <c r="AQ655" s="570"/>
      <c r="AR655" s="570"/>
      <c r="AS655" s="570"/>
      <c r="AT655" s="570"/>
      <c r="AU655" s="570"/>
    </row>
    <row r="656" spans="1:47" ht="15.75" customHeight="1">
      <c r="A656" s="575">
        <v>44498</v>
      </c>
      <c r="B656" s="583" t="s">
        <v>6457</v>
      </c>
      <c r="C656" s="405" t="s">
        <v>2929</v>
      </c>
      <c r="D656" s="561" t="s">
        <v>6343</v>
      </c>
      <c r="E656" s="600">
        <v>20000</v>
      </c>
      <c r="F656" s="561" t="s">
        <v>3148</v>
      </c>
      <c r="G656" s="571" t="s">
        <v>19</v>
      </c>
      <c r="H656" s="571" t="s">
        <v>35</v>
      </c>
      <c r="I656" s="571" t="s">
        <v>250</v>
      </c>
      <c r="J656" s="571">
        <v>44298</v>
      </c>
      <c r="K656" s="574" t="s">
        <v>3803</v>
      </c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70"/>
      <c r="AH656" s="570"/>
      <c r="AI656" s="570"/>
      <c r="AJ656" s="570"/>
      <c r="AK656" s="570"/>
      <c r="AL656" s="570"/>
      <c r="AM656" s="570"/>
      <c r="AN656" s="570"/>
      <c r="AO656" s="570"/>
      <c r="AP656" s="570"/>
      <c r="AQ656" s="570"/>
      <c r="AR656" s="570"/>
      <c r="AS656" s="570"/>
      <c r="AT656" s="570"/>
      <c r="AU656" s="570"/>
    </row>
    <row r="657" spans="1:47" ht="15.75" customHeight="1">
      <c r="A657" s="575">
        <v>44498</v>
      </c>
      <c r="B657" s="583" t="s">
        <v>6478</v>
      </c>
      <c r="C657" s="405" t="s">
        <v>2929</v>
      </c>
      <c r="D657" s="561" t="s">
        <v>6343</v>
      </c>
      <c r="E657" s="600">
        <v>30000</v>
      </c>
      <c r="F657" s="561" t="s">
        <v>2479</v>
      </c>
      <c r="G657" s="571" t="s">
        <v>19</v>
      </c>
      <c r="H657" s="571" t="s">
        <v>35</v>
      </c>
      <c r="I657" s="571" t="s">
        <v>199</v>
      </c>
      <c r="J657" s="571">
        <v>44280</v>
      </c>
      <c r="K657" s="574" t="s">
        <v>3797</v>
      </c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70"/>
      <c r="AH657" s="570"/>
      <c r="AI657" s="570"/>
      <c r="AJ657" s="570"/>
      <c r="AK657" s="570"/>
      <c r="AL657" s="570"/>
      <c r="AM657" s="570"/>
      <c r="AN657" s="570"/>
      <c r="AO657" s="570"/>
      <c r="AP657" s="570"/>
      <c r="AQ657" s="570"/>
      <c r="AR657" s="570"/>
      <c r="AS657" s="570"/>
      <c r="AT657" s="570"/>
      <c r="AU657" s="570"/>
    </row>
    <row r="658" spans="1:47" ht="15.75" customHeight="1">
      <c r="A658" s="575">
        <v>44501</v>
      </c>
      <c r="B658" s="583" t="s">
        <v>6381</v>
      </c>
      <c r="C658" s="405" t="s">
        <v>2929</v>
      </c>
      <c r="D658" s="561" t="s">
        <v>6343</v>
      </c>
      <c r="E658" s="600">
        <v>200000</v>
      </c>
      <c r="F658" s="561" t="s">
        <v>3309</v>
      </c>
      <c r="G658" s="571" t="s">
        <v>2931</v>
      </c>
      <c r="H658" s="571" t="s">
        <v>20</v>
      </c>
      <c r="I658" s="571" t="s">
        <v>2932</v>
      </c>
      <c r="J658" s="571">
        <v>43620</v>
      </c>
      <c r="K658" s="574" t="s">
        <v>3803</v>
      </c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70"/>
      <c r="AH658" s="570"/>
      <c r="AI658" s="570"/>
      <c r="AJ658" s="570"/>
      <c r="AK658" s="570"/>
      <c r="AL658" s="570"/>
      <c r="AM658" s="570"/>
      <c r="AN658" s="570"/>
      <c r="AO658" s="570"/>
      <c r="AP658" s="570"/>
      <c r="AQ658" s="570"/>
      <c r="AR658" s="570"/>
      <c r="AS658" s="570"/>
      <c r="AT658" s="570"/>
      <c r="AU658" s="570"/>
    </row>
    <row r="659" spans="1:47" ht="15.75" customHeight="1">
      <c r="A659" s="575">
        <v>44501</v>
      </c>
      <c r="B659" s="583" t="s">
        <v>6457</v>
      </c>
      <c r="C659" s="405" t="s">
        <v>2929</v>
      </c>
      <c r="D659" s="561" t="s">
        <v>6343</v>
      </c>
      <c r="E659" s="600">
        <v>3000</v>
      </c>
      <c r="F659" s="561" t="s">
        <v>3148</v>
      </c>
      <c r="G659" s="571" t="s">
        <v>19</v>
      </c>
      <c r="H659" s="571" t="s">
        <v>35</v>
      </c>
      <c r="I659" s="571" t="s">
        <v>250</v>
      </c>
      <c r="J659" s="571">
        <v>44298</v>
      </c>
      <c r="K659" s="574" t="s">
        <v>3803</v>
      </c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70"/>
      <c r="AH659" s="570"/>
      <c r="AI659" s="570"/>
      <c r="AJ659" s="570"/>
      <c r="AK659" s="570"/>
      <c r="AL659" s="570"/>
      <c r="AM659" s="570"/>
      <c r="AN659" s="570"/>
      <c r="AO659" s="570"/>
      <c r="AP659" s="570"/>
      <c r="AQ659" s="570"/>
      <c r="AR659" s="570"/>
      <c r="AS659" s="570"/>
      <c r="AT659" s="570"/>
      <c r="AU659" s="570"/>
    </row>
    <row r="660" spans="1:47" ht="15.75" customHeight="1">
      <c r="A660" s="575">
        <v>44501</v>
      </c>
      <c r="B660" s="583" t="s">
        <v>6410</v>
      </c>
      <c r="C660" s="405" t="s">
        <v>2929</v>
      </c>
      <c r="D660" s="561" t="s">
        <v>6343</v>
      </c>
      <c r="E660" s="600">
        <v>40000</v>
      </c>
      <c r="F660" s="561" t="s">
        <v>850</v>
      </c>
      <c r="G660" s="571" t="s">
        <v>19</v>
      </c>
      <c r="H660" s="571" t="s">
        <v>35</v>
      </c>
      <c r="I660" s="571" t="s">
        <v>199</v>
      </c>
      <c r="J660" s="571">
        <v>44321</v>
      </c>
      <c r="K660" s="574" t="s">
        <v>3803</v>
      </c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70"/>
      <c r="AH660" s="570"/>
      <c r="AI660" s="570"/>
      <c r="AJ660" s="570"/>
      <c r="AK660" s="570"/>
      <c r="AL660" s="570"/>
      <c r="AM660" s="570"/>
      <c r="AN660" s="570"/>
      <c r="AO660" s="570"/>
      <c r="AP660" s="570"/>
      <c r="AQ660" s="570"/>
      <c r="AR660" s="570"/>
      <c r="AS660" s="570"/>
      <c r="AT660" s="570"/>
      <c r="AU660" s="570"/>
    </row>
    <row r="661" spans="1:47" ht="15.75" customHeight="1">
      <c r="A661" s="575">
        <v>44503</v>
      </c>
      <c r="B661" s="583" t="s">
        <v>6461</v>
      </c>
      <c r="C661" s="405" t="s">
        <v>2929</v>
      </c>
      <c r="D661" s="561" t="s">
        <v>6343</v>
      </c>
      <c r="E661" s="600">
        <v>30000</v>
      </c>
      <c r="F661" s="561" t="s">
        <v>3454</v>
      </c>
      <c r="G661" s="571" t="s">
        <v>19</v>
      </c>
      <c r="H661" s="571" t="s">
        <v>35</v>
      </c>
      <c r="I661" s="571" t="s">
        <v>250</v>
      </c>
      <c r="J661" s="571">
        <v>44279</v>
      </c>
      <c r="K661" s="574" t="s">
        <v>3803</v>
      </c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70"/>
      <c r="AH661" s="570"/>
      <c r="AI661" s="570"/>
      <c r="AJ661" s="570"/>
      <c r="AK661" s="570"/>
      <c r="AL661" s="570"/>
      <c r="AM661" s="570"/>
      <c r="AN661" s="570"/>
      <c r="AO661" s="570"/>
      <c r="AP661" s="570"/>
      <c r="AQ661" s="570"/>
      <c r="AR661" s="570"/>
      <c r="AS661" s="570"/>
      <c r="AT661" s="570"/>
      <c r="AU661" s="570"/>
    </row>
    <row r="662" spans="1:47" ht="15.75" customHeight="1">
      <c r="A662" s="575">
        <v>44503</v>
      </c>
      <c r="B662" s="605" t="s">
        <v>6414</v>
      </c>
      <c r="C662" s="405" t="s">
        <v>3793</v>
      </c>
      <c r="D662" s="561" t="s">
        <v>6343</v>
      </c>
      <c r="E662" s="600">
        <v>5000</v>
      </c>
      <c r="F662" s="561" t="s">
        <v>4381</v>
      </c>
      <c r="G662" s="561" t="s">
        <v>46</v>
      </c>
      <c r="H662" s="561" t="s">
        <v>20</v>
      </c>
      <c r="I662" s="561" t="s">
        <v>3870</v>
      </c>
      <c r="J662" s="571">
        <v>44263</v>
      </c>
      <c r="K662" s="577" t="s">
        <v>3803</v>
      </c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70"/>
      <c r="AH662" s="570"/>
      <c r="AI662" s="570"/>
      <c r="AJ662" s="570"/>
      <c r="AK662" s="570"/>
      <c r="AL662" s="570"/>
      <c r="AM662" s="570"/>
      <c r="AN662" s="570"/>
      <c r="AO662" s="570"/>
      <c r="AP662" s="570"/>
      <c r="AQ662" s="570"/>
      <c r="AR662" s="570"/>
      <c r="AS662" s="570"/>
      <c r="AT662" s="570"/>
      <c r="AU662" s="570"/>
    </row>
    <row r="663" spans="1:47" ht="15.75" customHeight="1">
      <c r="A663" s="575">
        <v>44504</v>
      </c>
      <c r="B663" s="609" t="s">
        <v>6492</v>
      </c>
      <c r="C663" s="405" t="s">
        <v>3793</v>
      </c>
      <c r="D663" s="561" t="s">
        <v>6343</v>
      </c>
      <c r="E663" s="600">
        <v>12284.53</v>
      </c>
      <c r="F663" s="561" t="s">
        <v>3879</v>
      </c>
      <c r="G663" s="561" t="s">
        <v>46</v>
      </c>
      <c r="H663" s="561" t="s">
        <v>20</v>
      </c>
      <c r="I663" s="561" t="s">
        <v>6609</v>
      </c>
      <c r="J663" s="571">
        <v>44180</v>
      </c>
      <c r="K663" s="577" t="s">
        <v>3813</v>
      </c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70"/>
      <c r="AH663" s="570"/>
      <c r="AI663" s="570"/>
      <c r="AJ663" s="570"/>
      <c r="AK663" s="570"/>
      <c r="AL663" s="570"/>
      <c r="AM663" s="570"/>
      <c r="AN663" s="570"/>
      <c r="AO663" s="570"/>
      <c r="AP663" s="570"/>
      <c r="AQ663" s="570"/>
      <c r="AR663" s="570"/>
      <c r="AS663" s="570"/>
      <c r="AT663" s="570"/>
      <c r="AU663" s="570"/>
    </row>
    <row r="664" spans="1:47" ht="15.75" customHeight="1">
      <c r="A664" s="575">
        <v>44504</v>
      </c>
      <c r="B664" s="607" t="s">
        <v>6610</v>
      </c>
      <c r="C664" s="405" t="s">
        <v>3793</v>
      </c>
      <c r="D664" s="561" t="s">
        <v>956</v>
      </c>
      <c r="E664" s="600">
        <v>282779.84000000003</v>
      </c>
      <c r="F664" s="561" t="s">
        <v>4386</v>
      </c>
      <c r="G664" s="561" t="s">
        <v>46</v>
      </c>
      <c r="H664" s="561" t="s">
        <v>20</v>
      </c>
      <c r="I664" s="561" t="s">
        <v>3640</v>
      </c>
      <c r="J664" s="571">
        <v>44238</v>
      </c>
      <c r="K664" s="577" t="s">
        <v>3797</v>
      </c>
      <c r="L664" s="570"/>
      <c r="M664" s="61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70"/>
      <c r="AH664" s="570"/>
      <c r="AI664" s="570"/>
      <c r="AJ664" s="570"/>
      <c r="AK664" s="570"/>
      <c r="AL664" s="570"/>
      <c r="AM664" s="570"/>
      <c r="AN664" s="570"/>
      <c r="AO664" s="570"/>
      <c r="AP664" s="570"/>
      <c r="AQ664" s="570"/>
      <c r="AR664" s="570"/>
      <c r="AS664" s="570"/>
      <c r="AT664" s="570"/>
      <c r="AU664" s="570"/>
    </row>
    <row r="665" spans="1:47" ht="15.75" customHeight="1">
      <c r="A665" s="575">
        <v>44504</v>
      </c>
      <c r="B665" s="603" t="s">
        <v>6552</v>
      </c>
      <c r="C665" s="405" t="s">
        <v>2929</v>
      </c>
      <c r="D665" s="561" t="s">
        <v>6343</v>
      </c>
      <c r="E665" s="600">
        <v>25000</v>
      </c>
      <c r="F665" s="561" t="s">
        <v>3509</v>
      </c>
      <c r="G665" s="571" t="s">
        <v>19</v>
      </c>
      <c r="H665" s="571" t="s">
        <v>35</v>
      </c>
      <c r="I665" s="571" t="s">
        <v>199</v>
      </c>
      <c r="J665" s="571">
        <v>44263</v>
      </c>
      <c r="K665" s="574" t="s">
        <v>3813</v>
      </c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70"/>
      <c r="AH665" s="570"/>
      <c r="AI665" s="570"/>
      <c r="AJ665" s="570"/>
      <c r="AK665" s="570"/>
      <c r="AL665" s="570"/>
      <c r="AM665" s="570"/>
      <c r="AN665" s="570"/>
      <c r="AO665" s="570"/>
      <c r="AP665" s="570"/>
      <c r="AQ665" s="570"/>
      <c r="AR665" s="570"/>
      <c r="AS665" s="570"/>
      <c r="AT665" s="570"/>
      <c r="AU665" s="570"/>
    </row>
    <row r="666" spans="1:47" ht="15.75" customHeight="1">
      <c r="A666" s="575">
        <v>44504</v>
      </c>
      <c r="B666" s="586" t="s">
        <v>6511</v>
      </c>
      <c r="C666" s="405" t="s">
        <v>2929</v>
      </c>
      <c r="D666" s="561" t="s">
        <v>6343</v>
      </c>
      <c r="E666" s="600">
        <v>50000</v>
      </c>
      <c r="F666" s="561" t="s">
        <v>3303</v>
      </c>
      <c r="G666" s="571" t="s">
        <v>19</v>
      </c>
      <c r="H666" s="571" t="s">
        <v>35</v>
      </c>
      <c r="I666" s="571" t="s">
        <v>199</v>
      </c>
      <c r="J666" s="571">
        <v>44263</v>
      </c>
      <c r="K666" s="574" t="s">
        <v>3797</v>
      </c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70"/>
      <c r="AH666" s="570"/>
      <c r="AI666" s="570"/>
      <c r="AJ666" s="570"/>
      <c r="AK666" s="570"/>
      <c r="AL666" s="570"/>
      <c r="AM666" s="570"/>
      <c r="AN666" s="570"/>
      <c r="AO666" s="570"/>
      <c r="AP666" s="570"/>
      <c r="AQ666" s="570"/>
      <c r="AR666" s="570"/>
      <c r="AS666" s="570"/>
      <c r="AT666" s="570"/>
      <c r="AU666" s="570"/>
    </row>
    <row r="667" spans="1:47" ht="15.75" customHeight="1">
      <c r="A667" s="575">
        <v>44504</v>
      </c>
      <c r="B667" s="586" t="s">
        <v>6611</v>
      </c>
      <c r="C667" s="405" t="s">
        <v>2929</v>
      </c>
      <c r="D667" s="561" t="s">
        <v>6343</v>
      </c>
      <c r="E667" s="600">
        <v>10000</v>
      </c>
      <c r="F667" s="561" t="s">
        <v>3346</v>
      </c>
      <c r="G667" s="571" t="s">
        <v>19</v>
      </c>
      <c r="H667" s="571" t="s">
        <v>35</v>
      </c>
      <c r="I667" s="571" t="s">
        <v>199</v>
      </c>
      <c r="J667" s="571">
        <v>44323</v>
      </c>
      <c r="K667" s="574" t="s">
        <v>3850</v>
      </c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70"/>
      <c r="AH667" s="570"/>
      <c r="AI667" s="570"/>
      <c r="AJ667" s="570"/>
      <c r="AK667" s="570"/>
      <c r="AL667" s="570"/>
      <c r="AM667" s="570"/>
      <c r="AN667" s="570"/>
      <c r="AO667" s="570"/>
      <c r="AP667" s="570"/>
      <c r="AQ667" s="570"/>
      <c r="AR667" s="570"/>
      <c r="AS667" s="570"/>
      <c r="AT667" s="570"/>
      <c r="AU667" s="570"/>
    </row>
    <row r="668" spans="1:47" ht="15.75" customHeight="1">
      <c r="A668" s="575">
        <v>44505</v>
      </c>
      <c r="B668" s="605" t="s">
        <v>6612</v>
      </c>
      <c r="C668" s="405" t="s">
        <v>3793</v>
      </c>
      <c r="D668" s="561" t="s">
        <v>6343</v>
      </c>
      <c r="E668" s="600">
        <v>18000</v>
      </c>
      <c r="F668" s="561" t="s">
        <v>3419</v>
      </c>
      <c r="G668" s="561" t="s">
        <v>2931</v>
      </c>
      <c r="H668" s="561" t="s">
        <v>20</v>
      </c>
      <c r="I668" s="561" t="s">
        <v>2931</v>
      </c>
      <c r="J668" s="571">
        <v>44151</v>
      </c>
      <c r="K668" s="577" t="s">
        <v>3803</v>
      </c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70"/>
      <c r="AH668" s="570"/>
      <c r="AI668" s="570"/>
      <c r="AJ668" s="570"/>
      <c r="AK668" s="570"/>
      <c r="AL668" s="570"/>
      <c r="AM668" s="570"/>
      <c r="AN668" s="570"/>
      <c r="AO668" s="570"/>
      <c r="AP668" s="570"/>
      <c r="AQ668" s="570"/>
      <c r="AR668" s="570"/>
      <c r="AS668" s="570"/>
      <c r="AT668" s="570"/>
      <c r="AU668" s="570"/>
    </row>
    <row r="669" spans="1:47" ht="15.75" customHeight="1">
      <c r="A669" s="575">
        <v>44505</v>
      </c>
      <c r="B669" s="603" t="s">
        <v>6613</v>
      </c>
      <c r="C669" s="405" t="s">
        <v>2929</v>
      </c>
      <c r="D669" s="561" t="s">
        <v>921</v>
      </c>
      <c r="E669" s="585">
        <v>52493.45</v>
      </c>
      <c r="F669" s="561" t="s">
        <v>3505</v>
      </c>
      <c r="G669" s="571" t="s">
        <v>19</v>
      </c>
      <c r="H669" s="571" t="s">
        <v>35</v>
      </c>
      <c r="I669" s="571" t="s">
        <v>199</v>
      </c>
      <c r="J669" s="571">
        <v>44411</v>
      </c>
      <c r="K669" s="574" t="s">
        <v>3803</v>
      </c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70"/>
      <c r="AH669" s="570"/>
      <c r="AI669" s="570"/>
      <c r="AJ669" s="570"/>
      <c r="AK669" s="570"/>
      <c r="AL669" s="570"/>
      <c r="AM669" s="570"/>
      <c r="AN669" s="570"/>
      <c r="AO669" s="570"/>
      <c r="AP669" s="570"/>
      <c r="AQ669" s="570"/>
      <c r="AR669" s="570"/>
      <c r="AS669" s="570"/>
      <c r="AT669" s="570"/>
      <c r="AU669" s="570"/>
    </row>
    <row r="670" spans="1:47" ht="15.75" customHeight="1">
      <c r="A670" s="575">
        <v>44505</v>
      </c>
      <c r="B670" s="603" t="s">
        <v>6350</v>
      </c>
      <c r="C670" s="405" t="s">
        <v>2929</v>
      </c>
      <c r="D670" s="561" t="s">
        <v>6343</v>
      </c>
      <c r="E670" s="600">
        <v>200000</v>
      </c>
      <c r="F670" s="561" t="s">
        <v>3564</v>
      </c>
      <c r="G670" s="571" t="s">
        <v>2931</v>
      </c>
      <c r="H670" s="571" t="s">
        <v>20</v>
      </c>
      <c r="I670" s="571" t="s">
        <v>2932</v>
      </c>
      <c r="J670" s="571">
        <v>43567</v>
      </c>
      <c r="K670" s="574" t="s">
        <v>3803</v>
      </c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70"/>
      <c r="AH670" s="570"/>
      <c r="AI670" s="570"/>
      <c r="AJ670" s="570"/>
      <c r="AK670" s="570"/>
      <c r="AL670" s="570"/>
      <c r="AM670" s="570"/>
      <c r="AN670" s="570"/>
      <c r="AO670" s="570"/>
      <c r="AP670" s="570"/>
      <c r="AQ670" s="570"/>
      <c r="AR670" s="570"/>
      <c r="AS670" s="570"/>
      <c r="AT670" s="570"/>
      <c r="AU670" s="570"/>
    </row>
    <row r="671" spans="1:47" ht="15.75" customHeight="1">
      <c r="A671" s="575">
        <v>44505</v>
      </c>
      <c r="B671" s="611" t="s">
        <v>6614</v>
      </c>
      <c r="C671" s="405" t="s">
        <v>2929</v>
      </c>
      <c r="D671" s="561" t="s">
        <v>956</v>
      </c>
      <c r="E671" s="600">
        <v>386234.9</v>
      </c>
      <c r="F671" s="561" t="s">
        <v>3202</v>
      </c>
      <c r="G671" s="571" t="s">
        <v>2931</v>
      </c>
      <c r="H671" s="571" t="s">
        <v>20</v>
      </c>
      <c r="I671" s="571" t="s">
        <v>2932</v>
      </c>
      <c r="J671" s="571">
        <v>43692</v>
      </c>
      <c r="K671" s="574" t="s">
        <v>4196</v>
      </c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70"/>
      <c r="AH671" s="570"/>
      <c r="AI671" s="570"/>
      <c r="AJ671" s="570"/>
      <c r="AK671" s="570"/>
      <c r="AL671" s="570"/>
      <c r="AM671" s="570"/>
      <c r="AN671" s="570"/>
      <c r="AO671" s="570"/>
      <c r="AP671" s="570"/>
      <c r="AQ671" s="570"/>
      <c r="AR671" s="570"/>
      <c r="AS671" s="570"/>
      <c r="AT671" s="570"/>
      <c r="AU671" s="570"/>
    </row>
    <row r="672" spans="1:47" ht="15.75" customHeight="1">
      <c r="A672" s="575">
        <v>44509</v>
      </c>
      <c r="B672" s="603" t="s">
        <v>6569</v>
      </c>
      <c r="C672" s="405" t="s">
        <v>2929</v>
      </c>
      <c r="D672" s="561" t="s">
        <v>921</v>
      </c>
      <c r="E672" s="600">
        <v>1035319</v>
      </c>
      <c r="F672" s="561" t="s">
        <v>3238</v>
      </c>
      <c r="G672" s="571" t="s">
        <v>19</v>
      </c>
      <c r="H672" s="571" t="s">
        <v>35</v>
      </c>
      <c r="I672" s="571" t="s">
        <v>199</v>
      </c>
      <c r="J672" s="571">
        <v>44319</v>
      </c>
      <c r="K672" s="574" t="s">
        <v>3803</v>
      </c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70"/>
      <c r="AH672" s="570"/>
      <c r="AI672" s="570"/>
      <c r="AJ672" s="570"/>
      <c r="AK672" s="570"/>
      <c r="AL672" s="570"/>
      <c r="AM672" s="570"/>
      <c r="AN672" s="570"/>
      <c r="AO672" s="570"/>
      <c r="AP672" s="570"/>
      <c r="AQ672" s="570"/>
      <c r="AR672" s="570"/>
      <c r="AS672" s="570"/>
      <c r="AT672" s="570"/>
      <c r="AU672" s="570"/>
    </row>
    <row r="673" spans="1:47" ht="15.75" customHeight="1">
      <c r="A673" s="575">
        <v>44509</v>
      </c>
      <c r="B673" s="603" t="s">
        <v>6615</v>
      </c>
      <c r="C673" s="405" t="s">
        <v>2929</v>
      </c>
      <c r="D673" s="561" t="s">
        <v>6343</v>
      </c>
      <c r="E673" s="600">
        <v>359568.24</v>
      </c>
      <c r="F673" s="561" t="s">
        <v>2930</v>
      </c>
      <c r="G673" s="571" t="s">
        <v>2931</v>
      </c>
      <c r="H673" s="571" t="s">
        <v>20</v>
      </c>
      <c r="I673" s="571" t="s">
        <v>2932</v>
      </c>
      <c r="J673" s="571">
        <v>43570</v>
      </c>
      <c r="K673" s="574" t="s">
        <v>3813</v>
      </c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70"/>
      <c r="AH673" s="570"/>
      <c r="AI673" s="570"/>
      <c r="AJ673" s="570"/>
      <c r="AK673" s="570"/>
      <c r="AL673" s="570"/>
      <c r="AM673" s="570"/>
      <c r="AN673" s="570"/>
      <c r="AO673" s="570"/>
      <c r="AP673" s="570"/>
      <c r="AQ673" s="570"/>
      <c r="AR673" s="570"/>
      <c r="AS673" s="570"/>
      <c r="AT673" s="570"/>
      <c r="AU673" s="570"/>
    </row>
    <row r="674" spans="1:47" ht="15.75" customHeight="1">
      <c r="A674" s="575">
        <v>44509</v>
      </c>
      <c r="B674" s="583" t="s">
        <v>6349</v>
      </c>
      <c r="C674" s="405" t="s">
        <v>2929</v>
      </c>
      <c r="D674" s="561" t="s">
        <v>6343</v>
      </c>
      <c r="E674" s="584">
        <v>10000</v>
      </c>
      <c r="F674" s="561" t="s">
        <v>3198</v>
      </c>
      <c r="G674" s="571" t="s">
        <v>2931</v>
      </c>
      <c r="H674" s="571" t="s">
        <v>20</v>
      </c>
      <c r="I674" s="571" t="s">
        <v>2932</v>
      </c>
      <c r="J674" s="571">
        <v>43703</v>
      </c>
      <c r="K674" s="574" t="s">
        <v>4196</v>
      </c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70"/>
      <c r="AH674" s="570"/>
      <c r="AI674" s="570"/>
      <c r="AJ674" s="570"/>
      <c r="AK674" s="570"/>
      <c r="AL674" s="570"/>
      <c r="AM674" s="570"/>
      <c r="AN674" s="570"/>
      <c r="AO674" s="570"/>
      <c r="AP674" s="570"/>
      <c r="AQ674" s="570"/>
      <c r="AR674" s="570"/>
      <c r="AS674" s="570"/>
      <c r="AT674" s="570"/>
      <c r="AU674" s="570"/>
    </row>
    <row r="675" spans="1:47" ht="15.75" customHeight="1">
      <c r="A675" s="575">
        <v>44509</v>
      </c>
      <c r="B675" s="611" t="s">
        <v>6616</v>
      </c>
      <c r="C675" s="405" t="s">
        <v>2929</v>
      </c>
      <c r="D675" s="561" t="s">
        <v>956</v>
      </c>
      <c r="E675" s="584">
        <v>103527.44</v>
      </c>
      <c r="F675" s="561" t="s">
        <v>2957</v>
      </c>
      <c r="G675" s="571" t="s">
        <v>2931</v>
      </c>
      <c r="H675" s="571" t="s">
        <v>20</v>
      </c>
      <c r="I675" s="571" t="s">
        <v>2938</v>
      </c>
      <c r="J675" s="571">
        <v>43633</v>
      </c>
      <c r="K675" s="574" t="s">
        <v>3813</v>
      </c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70"/>
      <c r="AH675" s="570"/>
      <c r="AI675" s="570"/>
      <c r="AJ675" s="570"/>
      <c r="AK675" s="570"/>
      <c r="AL675" s="570"/>
      <c r="AM675" s="570"/>
      <c r="AN675" s="570"/>
      <c r="AO675" s="570"/>
      <c r="AP675" s="570"/>
      <c r="AQ675" s="570"/>
      <c r="AR675" s="570"/>
      <c r="AS675" s="570"/>
      <c r="AT675" s="570"/>
      <c r="AU675" s="570"/>
    </row>
    <row r="676" spans="1:47" ht="15.75" customHeight="1">
      <c r="A676" s="575">
        <v>44510</v>
      </c>
      <c r="B676" s="605" t="s">
        <v>6444</v>
      </c>
      <c r="C676" s="405" t="s">
        <v>3793</v>
      </c>
      <c r="D676" s="561" t="s">
        <v>6343</v>
      </c>
      <c r="E676" s="584">
        <v>20000</v>
      </c>
      <c r="F676" s="561" t="s">
        <v>5095</v>
      </c>
      <c r="G676" s="561" t="s">
        <v>46</v>
      </c>
      <c r="H676" s="561" t="s">
        <v>20</v>
      </c>
      <c r="I676" s="561" t="s">
        <v>4480</v>
      </c>
      <c r="J676" s="571">
        <v>44180</v>
      </c>
      <c r="K676" s="577" t="s">
        <v>3803</v>
      </c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70"/>
      <c r="AH676" s="570"/>
      <c r="AI676" s="570"/>
      <c r="AJ676" s="570"/>
      <c r="AK676" s="570"/>
      <c r="AL676" s="570"/>
      <c r="AM676" s="570"/>
      <c r="AN676" s="570"/>
      <c r="AO676" s="570"/>
      <c r="AP676" s="570"/>
      <c r="AQ676" s="570"/>
      <c r="AR676" s="570"/>
      <c r="AS676" s="570"/>
      <c r="AT676" s="570"/>
      <c r="AU676" s="570"/>
    </row>
    <row r="677" spans="1:47" ht="15.75" customHeight="1">
      <c r="A677" s="575">
        <v>44510</v>
      </c>
      <c r="B677" s="583" t="s">
        <v>6411</v>
      </c>
      <c r="C677" s="405" t="s">
        <v>2929</v>
      </c>
      <c r="D677" s="561" t="s">
        <v>6343</v>
      </c>
      <c r="E677" s="584">
        <v>10000</v>
      </c>
      <c r="F677" s="561" t="s">
        <v>3264</v>
      </c>
      <c r="G677" s="571" t="s">
        <v>19</v>
      </c>
      <c r="H677" s="571" t="s">
        <v>35</v>
      </c>
      <c r="I677" s="571" t="s">
        <v>199</v>
      </c>
      <c r="J677" s="571">
        <v>44295</v>
      </c>
      <c r="K677" s="574" t="s">
        <v>3810</v>
      </c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70"/>
      <c r="AH677" s="570"/>
      <c r="AI677" s="570"/>
      <c r="AJ677" s="570"/>
      <c r="AK677" s="570"/>
      <c r="AL677" s="570"/>
      <c r="AM677" s="570"/>
      <c r="AN677" s="570"/>
      <c r="AO677" s="570"/>
      <c r="AP677" s="570"/>
      <c r="AQ677" s="570"/>
      <c r="AR677" s="570"/>
      <c r="AS677" s="570"/>
      <c r="AT677" s="570"/>
      <c r="AU677" s="570"/>
    </row>
    <row r="678" spans="1:47" ht="15.75" customHeight="1">
      <c r="A678" s="575">
        <v>44511</v>
      </c>
      <c r="B678" s="583" t="s">
        <v>6479</v>
      </c>
      <c r="C678" s="405" t="s">
        <v>2929</v>
      </c>
      <c r="D678" s="561" t="s">
        <v>921</v>
      </c>
      <c r="E678" s="612">
        <v>52575.43</v>
      </c>
      <c r="F678" s="561" t="s">
        <v>1937</v>
      </c>
      <c r="G678" s="571" t="s">
        <v>19</v>
      </c>
      <c r="H678" s="571" t="s">
        <v>35</v>
      </c>
      <c r="I678" s="571" t="s">
        <v>199</v>
      </c>
      <c r="J678" s="571">
        <v>44322</v>
      </c>
      <c r="K678" s="574" t="s">
        <v>3803</v>
      </c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70"/>
      <c r="AH678" s="570"/>
      <c r="AI678" s="570"/>
      <c r="AJ678" s="570"/>
      <c r="AK678" s="570"/>
      <c r="AL678" s="570"/>
      <c r="AM678" s="570"/>
      <c r="AN678" s="570"/>
      <c r="AO678" s="570"/>
      <c r="AP678" s="570"/>
      <c r="AQ678" s="570"/>
      <c r="AR678" s="570"/>
      <c r="AS678" s="570"/>
      <c r="AT678" s="570"/>
      <c r="AU678" s="570"/>
    </row>
    <row r="679" spans="1:47" ht="15.75" customHeight="1">
      <c r="A679" s="575">
        <v>44511</v>
      </c>
      <c r="B679" s="583" t="s">
        <v>6581</v>
      </c>
      <c r="C679" s="405" t="s">
        <v>2929</v>
      </c>
      <c r="D679" s="561" t="s">
        <v>6343</v>
      </c>
      <c r="E679" s="585">
        <v>6843.64</v>
      </c>
      <c r="F679" s="561" t="s">
        <v>468</v>
      </c>
      <c r="G679" s="571" t="s">
        <v>19</v>
      </c>
      <c r="H679" s="571" t="s">
        <v>35</v>
      </c>
      <c r="I679" s="571" t="s">
        <v>199</v>
      </c>
      <c r="J679" s="571">
        <v>44421</v>
      </c>
      <c r="K679" s="574" t="s">
        <v>3803</v>
      </c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70"/>
      <c r="AH679" s="570"/>
      <c r="AI679" s="570"/>
      <c r="AJ679" s="570"/>
      <c r="AK679" s="570"/>
      <c r="AL679" s="570"/>
      <c r="AM679" s="570"/>
      <c r="AN679" s="570"/>
      <c r="AO679" s="570"/>
      <c r="AP679" s="570"/>
      <c r="AQ679" s="570"/>
      <c r="AR679" s="570"/>
      <c r="AS679" s="570"/>
      <c r="AT679" s="570"/>
      <c r="AU679" s="570"/>
    </row>
    <row r="680" spans="1:47" ht="15.75" customHeight="1">
      <c r="A680" s="575">
        <v>44512</v>
      </c>
      <c r="B680" s="607" t="s">
        <v>6617</v>
      </c>
      <c r="C680" s="405" t="s">
        <v>3793</v>
      </c>
      <c r="D680" s="561" t="s">
        <v>956</v>
      </c>
      <c r="E680" s="584">
        <v>124370.77</v>
      </c>
      <c r="F680" s="561" t="s">
        <v>5405</v>
      </c>
      <c r="G680" s="561" t="s">
        <v>46</v>
      </c>
      <c r="H680" s="561" t="s">
        <v>20</v>
      </c>
      <c r="I680" s="561" t="s">
        <v>5406</v>
      </c>
      <c r="J680" s="571">
        <v>44209</v>
      </c>
      <c r="K680" s="577" t="s">
        <v>3850</v>
      </c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70"/>
      <c r="AH680" s="570"/>
      <c r="AI680" s="570"/>
      <c r="AJ680" s="570"/>
      <c r="AK680" s="570"/>
      <c r="AL680" s="570"/>
      <c r="AM680" s="570"/>
      <c r="AN680" s="570"/>
      <c r="AO680" s="570"/>
      <c r="AP680" s="570"/>
      <c r="AQ680" s="570"/>
      <c r="AR680" s="570"/>
      <c r="AS680" s="570"/>
      <c r="AT680" s="570"/>
      <c r="AU680" s="570"/>
    </row>
    <row r="681" spans="1:47" ht="15.75" customHeight="1">
      <c r="A681" s="575">
        <v>44512</v>
      </c>
      <c r="B681" s="583" t="s">
        <v>6475</v>
      </c>
      <c r="C681" s="405" t="s">
        <v>2929</v>
      </c>
      <c r="D681" s="561" t="s">
        <v>6343</v>
      </c>
      <c r="E681" s="584">
        <v>3000</v>
      </c>
      <c r="F681" s="561" t="s">
        <v>3339</v>
      </c>
      <c r="G681" s="571" t="s">
        <v>19</v>
      </c>
      <c r="H681" s="571" t="s">
        <v>35</v>
      </c>
      <c r="I681" s="571" t="s">
        <v>250</v>
      </c>
      <c r="J681" s="571">
        <v>44322</v>
      </c>
      <c r="K681" s="574" t="s">
        <v>3803</v>
      </c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70"/>
      <c r="AH681" s="570"/>
      <c r="AI681" s="570"/>
      <c r="AJ681" s="570"/>
      <c r="AK681" s="570"/>
      <c r="AL681" s="570"/>
      <c r="AM681" s="570"/>
      <c r="AN681" s="570"/>
      <c r="AO681" s="570"/>
      <c r="AP681" s="570"/>
      <c r="AQ681" s="570"/>
      <c r="AR681" s="570"/>
      <c r="AS681" s="570"/>
      <c r="AT681" s="570"/>
      <c r="AU681" s="570"/>
    </row>
    <row r="682" spans="1:47" ht="15.75" customHeight="1">
      <c r="A682" s="575">
        <v>44512</v>
      </c>
      <c r="B682" s="613" t="s">
        <v>6613</v>
      </c>
      <c r="C682" s="405" t="s">
        <v>2929</v>
      </c>
      <c r="D682" s="561" t="s">
        <v>956</v>
      </c>
      <c r="E682" s="584">
        <v>0</v>
      </c>
      <c r="F682" s="561" t="s">
        <v>3505</v>
      </c>
      <c r="G682" s="571" t="s">
        <v>19</v>
      </c>
      <c r="H682" s="571" t="s">
        <v>35</v>
      </c>
      <c r="I682" s="571" t="s">
        <v>199</v>
      </c>
      <c r="J682" s="571">
        <v>44411</v>
      </c>
      <c r="K682" s="574" t="s">
        <v>3803</v>
      </c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70"/>
      <c r="AH682" s="570"/>
      <c r="AI682" s="570"/>
      <c r="AJ682" s="570"/>
      <c r="AK682" s="570"/>
      <c r="AL682" s="570"/>
      <c r="AM682" s="570"/>
      <c r="AN682" s="570"/>
      <c r="AO682" s="570"/>
      <c r="AP682" s="570"/>
      <c r="AQ682" s="570"/>
      <c r="AR682" s="570"/>
      <c r="AS682" s="570"/>
      <c r="AT682" s="570"/>
      <c r="AU682" s="570"/>
    </row>
    <row r="683" spans="1:47" ht="15.75" customHeight="1">
      <c r="A683" s="575">
        <v>44512</v>
      </c>
      <c r="B683" s="613" t="s">
        <v>6479</v>
      </c>
      <c r="C683" s="405" t="s">
        <v>2929</v>
      </c>
      <c r="D683" s="561" t="s">
        <v>956</v>
      </c>
      <c r="E683" s="612">
        <v>52575.43</v>
      </c>
      <c r="F683" s="561" t="s">
        <v>1937</v>
      </c>
      <c r="G683" s="571" t="s">
        <v>19</v>
      </c>
      <c r="H683" s="571" t="s">
        <v>35</v>
      </c>
      <c r="I683" s="571" t="s">
        <v>199</v>
      </c>
      <c r="J683" s="571">
        <v>44322</v>
      </c>
      <c r="K683" s="574" t="s">
        <v>3803</v>
      </c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70"/>
      <c r="AH683" s="570"/>
      <c r="AI683" s="570"/>
      <c r="AJ683" s="570"/>
      <c r="AK683" s="570"/>
      <c r="AL683" s="570"/>
      <c r="AM683" s="570"/>
      <c r="AN683" s="570"/>
      <c r="AO683" s="570"/>
      <c r="AP683" s="570"/>
      <c r="AQ683" s="570"/>
      <c r="AR683" s="570"/>
      <c r="AS683" s="570"/>
      <c r="AT683" s="570"/>
      <c r="AU683" s="570"/>
    </row>
    <row r="684" spans="1:47" ht="15.75" customHeight="1">
      <c r="A684" s="575">
        <v>44512</v>
      </c>
      <c r="B684" s="608" t="s">
        <v>6583</v>
      </c>
      <c r="C684" s="405" t="s">
        <v>2929</v>
      </c>
      <c r="D684" s="561" t="s">
        <v>956</v>
      </c>
      <c r="E684" s="612">
        <v>3940.3</v>
      </c>
      <c r="F684" s="561" t="s">
        <v>3184</v>
      </c>
      <c r="G684" s="571" t="s">
        <v>19</v>
      </c>
      <c r="H684" s="571" t="s">
        <v>35</v>
      </c>
      <c r="I684" s="571" t="s">
        <v>199</v>
      </c>
      <c r="J684" s="571">
        <v>44333</v>
      </c>
      <c r="K684" s="574" t="s">
        <v>3803</v>
      </c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70"/>
      <c r="AH684" s="570"/>
      <c r="AI684" s="570"/>
      <c r="AJ684" s="570"/>
      <c r="AK684" s="570"/>
      <c r="AL684" s="570"/>
      <c r="AM684" s="570"/>
      <c r="AN684" s="570"/>
      <c r="AO684" s="570"/>
      <c r="AP684" s="570"/>
      <c r="AQ684" s="570"/>
      <c r="AR684" s="570"/>
      <c r="AS684" s="570"/>
      <c r="AT684" s="570"/>
      <c r="AU684" s="570"/>
    </row>
    <row r="685" spans="1:47" ht="15.75" customHeight="1">
      <c r="A685" s="575">
        <v>44512</v>
      </c>
      <c r="B685" s="611" t="s">
        <v>6570</v>
      </c>
      <c r="C685" s="405" t="s">
        <v>2929</v>
      </c>
      <c r="D685" s="561" t="s">
        <v>956</v>
      </c>
      <c r="E685" s="584">
        <v>2041.36</v>
      </c>
      <c r="F685" s="561" t="s">
        <v>3013</v>
      </c>
      <c r="G685" s="571" t="s">
        <v>19</v>
      </c>
      <c r="H685" s="571" t="s">
        <v>35</v>
      </c>
      <c r="I685" s="571" t="s">
        <v>199</v>
      </c>
      <c r="J685" s="571">
        <v>44280</v>
      </c>
      <c r="K685" s="574" t="s">
        <v>3817</v>
      </c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70"/>
      <c r="AH685" s="570"/>
      <c r="AI685" s="570"/>
      <c r="AJ685" s="570"/>
      <c r="AK685" s="570"/>
      <c r="AL685" s="570"/>
      <c r="AM685" s="570"/>
      <c r="AN685" s="570"/>
      <c r="AO685" s="570"/>
      <c r="AP685" s="570"/>
      <c r="AQ685" s="570"/>
      <c r="AR685" s="570"/>
      <c r="AS685" s="570"/>
      <c r="AT685" s="570"/>
      <c r="AU685" s="570"/>
    </row>
    <row r="686" spans="1:47" ht="15.75" customHeight="1">
      <c r="A686" s="575">
        <v>44516</v>
      </c>
      <c r="B686" s="583" t="s">
        <v>6461</v>
      </c>
      <c r="C686" s="405" t="s">
        <v>2929</v>
      </c>
      <c r="D686" s="561" t="s">
        <v>6343</v>
      </c>
      <c r="E686" s="584">
        <v>54835.4</v>
      </c>
      <c r="F686" s="561" t="s">
        <v>3454</v>
      </c>
      <c r="G686" s="571" t="s">
        <v>19</v>
      </c>
      <c r="H686" s="571" t="s">
        <v>35</v>
      </c>
      <c r="I686" s="571" t="s">
        <v>250</v>
      </c>
      <c r="J686" s="571">
        <v>44279</v>
      </c>
      <c r="K686" s="574" t="s">
        <v>3803</v>
      </c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70"/>
      <c r="AH686" s="570"/>
      <c r="AI686" s="570"/>
      <c r="AJ686" s="570"/>
      <c r="AK686" s="570"/>
      <c r="AL686" s="570"/>
      <c r="AM686" s="570"/>
      <c r="AN686" s="570"/>
      <c r="AO686" s="570"/>
      <c r="AP686" s="570"/>
      <c r="AQ686" s="570"/>
      <c r="AR686" s="570"/>
      <c r="AS686" s="570"/>
      <c r="AT686" s="570"/>
      <c r="AU686" s="570"/>
    </row>
    <row r="687" spans="1:47" ht="15.75" customHeight="1">
      <c r="A687" s="575">
        <v>44516</v>
      </c>
      <c r="B687" s="583" t="s">
        <v>6506</v>
      </c>
      <c r="C687" s="405" t="s">
        <v>2929</v>
      </c>
      <c r="D687" s="561" t="s">
        <v>6343</v>
      </c>
      <c r="E687" s="584">
        <v>100000</v>
      </c>
      <c r="F687" s="561" t="s">
        <v>2941</v>
      </c>
      <c r="G687" s="571" t="s">
        <v>19</v>
      </c>
      <c r="H687" s="571" t="s">
        <v>35</v>
      </c>
      <c r="I687" s="571" t="s">
        <v>250</v>
      </c>
      <c r="J687" s="571">
        <v>44321</v>
      </c>
      <c r="K687" s="574" t="s">
        <v>3813</v>
      </c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70"/>
      <c r="AH687" s="570"/>
      <c r="AI687" s="570"/>
      <c r="AJ687" s="570"/>
      <c r="AK687" s="570"/>
      <c r="AL687" s="570"/>
      <c r="AM687" s="570"/>
      <c r="AN687" s="570"/>
      <c r="AO687" s="570"/>
      <c r="AP687" s="570"/>
      <c r="AQ687" s="570"/>
      <c r="AR687" s="570"/>
      <c r="AS687" s="570"/>
      <c r="AT687" s="570"/>
      <c r="AU687" s="570"/>
    </row>
    <row r="688" spans="1:47" ht="15.75" customHeight="1">
      <c r="A688" s="575">
        <v>44516</v>
      </c>
      <c r="B688" s="605" t="s">
        <v>6618</v>
      </c>
      <c r="C688" s="405" t="s">
        <v>3793</v>
      </c>
      <c r="D688" s="561" t="s">
        <v>956</v>
      </c>
      <c r="E688" s="584">
        <v>290532.13</v>
      </c>
      <c r="F688" s="561" t="s">
        <v>5151</v>
      </c>
      <c r="G688" s="561" t="s">
        <v>19</v>
      </c>
      <c r="H688" s="561" t="s">
        <v>66</v>
      </c>
      <c r="I688" s="561" t="s">
        <v>316</v>
      </c>
      <c r="J688" s="571">
        <v>44259</v>
      </c>
      <c r="K688" s="577" t="s">
        <v>3817</v>
      </c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70"/>
      <c r="AH688" s="570"/>
      <c r="AI688" s="570"/>
      <c r="AJ688" s="570"/>
      <c r="AK688" s="570"/>
      <c r="AL688" s="570"/>
      <c r="AM688" s="570"/>
      <c r="AN688" s="570"/>
      <c r="AO688" s="570"/>
      <c r="AP688" s="570"/>
      <c r="AQ688" s="570"/>
      <c r="AR688" s="570"/>
      <c r="AS688" s="570"/>
      <c r="AT688" s="570"/>
      <c r="AU688" s="570"/>
    </row>
    <row r="689" spans="1:47" ht="15.75" customHeight="1">
      <c r="A689" s="575">
        <v>44516</v>
      </c>
      <c r="B689" s="586" t="s">
        <v>6414</v>
      </c>
      <c r="C689" s="405" t="s">
        <v>3793</v>
      </c>
      <c r="D689" s="561" t="s">
        <v>6343</v>
      </c>
      <c r="E689" s="584">
        <v>5000</v>
      </c>
      <c r="F689" s="561" t="s">
        <v>4381</v>
      </c>
      <c r="G689" s="561" t="s">
        <v>46</v>
      </c>
      <c r="H689" s="561" t="s">
        <v>20</v>
      </c>
      <c r="I689" s="561" t="s">
        <v>3870</v>
      </c>
      <c r="J689" s="571">
        <v>44263</v>
      </c>
      <c r="K689" s="577" t="s">
        <v>3797</v>
      </c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70"/>
      <c r="AH689" s="570"/>
      <c r="AI689" s="570"/>
      <c r="AJ689" s="570"/>
      <c r="AK689" s="570"/>
      <c r="AL689" s="570"/>
      <c r="AM689" s="570"/>
      <c r="AN689" s="570"/>
      <c r="AO689" s="570"/>
      <c r="AP689" s="570"/>
      <c r="AQ689" s="570"/>
      <c r="AR689" s="570"/>
      <c r="AS689" s="570"/>
      <c r="AT689" s="570"/>
      <c r="AU689" s="570"/>
    </row>
    <row r="690" spans="1:47" ht="15.75" customHeight="1">
      <c r="A690" s="575">
        <v>44516</v>
      </c>
      <c r="B690" s="608" t="s">
        <v>6619</v>
      </c>
      <c r="C690" s="405" t="s">
        <v>3793</v>
      </c>
      <c r="D690" s="561" t="s">
        <v>956</v>
      </c>
      <c r="E690" s="584">
        <v>93114.82</v>
      </c>
      <c r="F690" s="561" t="s">
        <v>4370</v>
      </c>
      <c r="G690" s="561" t="s">
        <v>46</v>
      </c>
      <c r="H690" s="561" t="s">
        <v>20</v>
      </c>
      <c r="I690" s="561" t="s">
        <v>4371</v>
      </c>
      <c r="J690" s="571">
        <v>44407</v>
      </c>
      <c r="K690" s="574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70"/>
      <c r="AH690" s="570"/>
      <c r="AI690" s="570"/>
      <c r="AJ690" s="570"/>
      <c r="AK690" s="570"/>
      <c r="AL690" s="570"/>
      <c r="AM690" s="570"/>
      <c r="AN690" s="570"/>
      <c r="AO690" s="570"/>
      <c r="AP690" s="570"/>
      <c r="AQ690" s="570"/>
      <c r="AR690" s="570"/>
      <c r="AS690" s="570"/>
      <c r="AT690" s="570"/>
      <c r="AU690" s="570"/>
    </row>
    <row r="691" spans="1:47" ht="15.75" customHeight="1">
      <c r="A691" s="575">
        <v>44516</v>
      </c>
      <c r="B691" s="583" t="s">
        <v>6620</v>
      </c>
      <c r="C691" s="405" t="s">
        <v>3793</v>
      </c>
      <c r="D691" s="561" t="s">
        <v>6343</v>
      </c>
      <c r="E691" s="584">
        <v>48809.84</v>
      </c>
      <c r="F691" s="561" t="s">
        <v>5242</v>
      </c>
      <c r="G691" s="561" t="s">
        <v>19</v>
      </c>
      <c r="H691" s="561" t="s">
        <v>66</v>
      </c>
      <c r="I691" s="561" t="s">
        <v>5266</v>
      </c>
      <c r="J691" s="571">
        <v>44340</v>
      </c>
      <c r="K691" s="577" t="s">
        <v>3817</v>
      </c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70"/>
      <c r="AH691" s="570"/>
      <c r="AI691" s="570"/>
      <c r="AJ691" s="570"/>
      <c r="AK691" s="570"/>
      <c r="AL691" s="570"/>
      <c r="AM691" s="570"/>
      <c r="AN691" s="570"/>
      <c r="AO691" s="570"/>
      <c r="AP691" s="570"/>
      <c r="AQ691" s="570"/>
      <c r="AR691" s="570"/>
      <c r="AS691" s="570"/>
      <c r="AT691" s="570"/>
      <c r="AU691" s="570"/>
    </row>
    <row r="692" spans="1:47" ht="15.75" customHeight="1">
      <c r="A692" s="575">
        <v>44517</v>
      </c>
      <c r="B692" s="609" t="s">
        <v>6621</v>
      </c>
      <c r="C692" s="405" t="s">
        <v>3793</v>
      </c>
      <c r="D692" s="561" t="s">
        <v>6343</v>
      </c>
      <c r="E692" s="584">
        <v>10000</v>
      </c>
      <c r="F692" s="561" t="s">
        <v>4216</v>
      </c>
      <c r="G692" s="561" t="s">
        <v>19</v>
      </c>
      <c r="H692" s="561" t="s">
        <v>20</v>
      </c>
      <c r="I692" s="561" t="s">
        <v>3080</v>
      </c>
      <c r="J692" s="571">
        <v>44399</v>
      </c>
      <c r="K692" s="577" t="s">
        <v>3803</v>
      </c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70"/>
      <c r="AH692" s="570"/>
      <c r="AI692" s="570"/>
      <c r="AJ692" s="570"/>
      <c r="AK692" s="570"/>
      <c r="AL692" s="570"/>
      <c r="AM692" s="570"/>
      <c r="AN692" s="570"/>
      <c r="AO692" s="570"/>
      <c r="AP692" s="570"/>
      <c r="AQ692" s="570"/>
      <c r="AR692" s="570"/>
      <c r="AS692" s="570"/>
      <c r="AT692" s="570"/>
      <c r="AU692" s="570"/>
    </row>
    <row r="693" spans="1:47" ht="15.75" customHeight="1">
      <c r="A693" s="575">
        <v>44517</v>
      </c>
      <c r="B693" s="611" t="s">
        <v>6483</v>
      </c>
      <c r="C693" s="405" t="s">
        <v>2929</v>
      </c>
      <c r="D693" s="561" t="s">
        <v>956</v>
      </c>
      <c r="E693" s="584">
        <v>370651.89</v>
      </c>
      <c r="F693" s="561" t="s">
        <v>3207</v>
      </c>
      <c r="G693" s="571" t="s">
        <v>2931</v>
      </c>
      <c r="H693" s="571" t="s">
        <v>20</v>
      </c>
      <c r="I693" s="571" t="s">
        <v>2938</v>
      </c>
      <c r="J693" s="571">
        <v>43752</v>
      </c>
      <c r="K693" s="574" t="s">
        <v>3803</v>
      </c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70"/>
      <c r="AH693" s="570"/>
      <c r="AI693" s="570"/>
      <c r="AJ693" s="570"/>
      <c r="AK693" s="570"/>
      <c r="AL693" s="570"/>
      <c r="AM693" s="570"/>
      <c r="AN693" s="570"/>
      <c r="AO693" s="570"/>
      <c r="AP693" s="570"/>
      <c r="AQ693" s="570"/>
      <c r="AR693" s="570"/>
      <c r="AS693" s="570"/>
      <c r="AT693" s="570"/>
      <c r="AU693" s="570"/>
    </row>
    <row r="694" spans="1:47" ht="15.75" customHeight="1">
      <c r="A694" s="575">
        <v>44517</v>
      </c>
      <c r="B694" s="583" t="s">
        <v>6477</v>
      </c>
      <c r="C694" s="405" t="s">
        <v>2929</v>
      </c>
      <c r="D694" s="561" t="s">
        <v>6343</v>
      </c>
      <c r="E694" s="584">
        <v>10000</v>
      </c>
      <c r="F694" s="561" t="s">
        <v>3472</v>
      </c>
      <c r="G694" s="571" t="s">
        <v>19</v>
      </c>
      <c r="H694" s="571" t="s">
        <v>35</v>
      </c>
      <c r="I694" s="571" t="s">
        <v>250</v>
      </c>
      <c r="J694" s="571">
        <v>44319</v>
      </c>
      <c r="K694" s="574" t="s">
        <v>3803</v>
      </c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70"/>
      <c r="AH694" s="570"/>
      <c r="AI694" s="570"/>
      <c r="AJ694" s="570"/>
      <c r="AK694" s="570"/>
      <c r="AL694" s="570"/>
      <c r="AM694" s="570"/>
      <c r="AN694" s="570"/>
      <c r="AO694" s="570"/>
      <c r="AP694" s="570"/>
      <c r="AQ694" s="570"/>
      <c r="AR694" s="570"/>
      <c r="AS694" s="570"/>
      <c r="AT694" s="570"/>
      <c r="AU694" s="570"/>
    </row>
    <row r="695" spans="1:47" ht="15.75" customHeight="1">
      <c r="A695" s="575">
        <v>44518</v>
      </c>
      <c r="B695" s="583" t="s">
        <v>6622</v>
      </c>
      <c r="C695" s="405" t="s">
        <v>3793</v>
      </c>
      <c r="D695" s="561" t="s">
        <v>6343</v>
      </c>
      <c r="E695" s="584">
        <v>25000</v>
      </c>
      <c r="F695" s="561" t="s">
        <v>6623</v>
      </c>
      <c r="G695" s="553" t="s">
        <v>2931</v>
      </c>
      <c r="H695" s="614" t="s">
        <v>20</v>
      </c>
      <c r="I695" s="614" t="s">
        <v>2931</v>
      </c>
      <c r="J695" s="615">
        <v>44452</v>
      </c>
      <c r="K695" s="577" t="s">
        <v>3803</v>
      </c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70"/>
      <c r="AH695" s="570"/>
      <c r="AI695" s="570"/>
      <c r="AJ695" s="570"/>
      <c r="AK695" s="570"/>
      <c r="AL695" s="570"/>
      <c r="AM695" s="570"/>
      <c r="AN695" s="570"/>
      <c r="AO695" s="570"/>
      <c r="AP695" s="570"/>
      <c r="AQ695" s="570"/>
      <c r="AR695" s="570"/>
      <c r="AS695" s="570"/>
      <c r="AT695" s="570"/>
      <c r="AU695" s="570"/>
    </row>
    <row r="696" spans="1:47" ht="15.75" customHeight="1">
      <c r="A696" s="575">
        <v>44518</v>
      </c>
      <c r="B696" s="583" t="s">
        <v>6398</v>
      </c>
      <c r="C696" s="405" t="s">
        <v>2929</v>
      </c>
      <c r="D696" s="561" t="s">
        <v>921</v>
      </c>
      <c r="E696" s="584">
        <v>282315.92</v>
      </c>
      <c r="F696" s="561" t="s">
        <v>3043</v>
      </c>
      <c r="G696" s="571" t="s">
        <v>2931</v>
      </c>
      <c r="H696" s="571" t="s">
        <v>20</v>
      </c>
      <c r="I696" s="571" t="s">
        <v>2932</v>
      </c>
      <c r="J696" s="571">
        <v>43707</v>
      </c>
      <c r="K696" s="574" t="s">
        <v>3817</v>
      </c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70"/>
      <c r="AH696" s="570"/>
      <c r="AI696" s="570"/>
      <c r="AJ696" s="570"/>
      <c r="AK696" s="570"/>
      <c r="AL696" s="570"/>
      <c r="AM696" s="570"/>
      <c r="AN696" s="570"/>
      <c r="AO696" s="570"/>
      <c r="AP696" s="570"/>
      <c r="AQ696" s="570"/>
      <c r="AR696" s="570"/>
      <c r="AS696" s="570"/>
      <c r="AT696" s="570"/>
      <c r="AU696" s="570"/>
    </row>
    <row r="697" spans="1:47" ht="15.75" customHeight="1">
      <c r="A697" s="575">
        <v>44518</v>
      </c>
      <c r="B697" s="616" t="s">
        <v>6624</v>
      </c>
      <c r="C697" s="405" t="s">
        <v>2929</v>
      </c>
      <c r="D697" s="561" t="s">
        <v>921</v>
      </c>
      <c r="E697" s="584">
        <v>33813.279999999999</v>
      </c>
      <c r="F697" s="561" t="s">
        <v>3027</v>
      </c>
      <c r="G697" s="571" t="s">
        <v>2931</v>
      </c>
      <c r="H697" s="571" t="s">
        <v>20</v>
      </c>
      <c r="I697" s="571" t="s">
        <v>2932</v>
      </c>
      <c r="J697" s="571">
        <v>43769</v>
      </c>
      <c r="K697" s="574" t="s">
        <v>3813</v>
      </c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70"/>
      <c r="AH697" s="570"/>
      <c r="AI697" s="570"/>
      <c r="AJ697" s="570"/>
      <c r="AK697" s="570"/>
      <c r="AL697" s="570"/>
      <c r="AM697" s="570"/>
      <c r="AN697" s="570"/>
      <c r="AO697" s="570"/>
      <c r="AP697" s="570"/>
      <c r="AQ697" s="570"/>
      <c r="AR697" s="570"/>
      <c r="AS697" s="570"/>
      <c r="AT697" s="570"/>
      <c r="AU697" s="570"/>
    </row>
    <row r="698" spans="1:47" ht="15.75" customHeight="1">
      <c r="A698" s="575">
        <v>44518</v>
      </c>
      <c r="B698" s="583" t="s">
        <v>6486</v>
      </c>
      <c r="C698" s="405" t="s">
        <v>2929</v>
      </c>
      <c r="D698" s="561" t="s">
        <v>921</v>
      </c>
      <c r="E698" s="584">
        <v>90662.42</v>
      </c>
      <c r="F698" s="561" t="s">
        <v>2951</v>
      </c>
      <c r="G698" s="571" t="s">
        <v>2931</v>
      </c>
      <c r="H698" s="571" t="s">
        <v>20</v>
      </c>
      <c r="I698" s="571" t="s">
        <v>2932</v>
      </c>
      <c r="J698" s="571">
        <v>43753</v>
      </c>
      <c r="K698" s="574" t="s">
        <v>3803</v>
      </c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70"/>
      <c r="AH698" s="570"/>
      <c r="AI698" s="570"/>
      <c r="AJ698" s="570"/>
      <c r="AK698" s="570"/>
      <c r="AL698" s="570"/>
      <c r="AM698" s="570"/>
      <c r="AN698" s="570"/>
      <c r="AO698" s="570"/>
      <c r="AP698" s="570"/>
      <c r="AQ698" s="570"/>
      <c r="AR698" s="570"/>
      <c r="AS698" s="570"/>
      <c r="AT698" s="570"/>
      <c r="AU698" s="570"/>
    </row>
    <row r="699" spans="1:47" ht="15.75" customHeight="1">
      <c r="A699" s="575">
        <v>44518</v>
      </c>
      <c r="B699" s="572" t="s">
        <v>6351</v>
      </c>
      <c r="C699" s="405" t="s">
        <v>2929</v>
      </c>
      <c r="D699" s="561" t="s">
        <v>6343</v>
      </c>
      <c r="E699" s="584">
        <v>2000</v>
      </c>
      <c r="F699" s="561" t="s">
        <v>3235</v>
      </c>
      <c r="G699" s="571" t="s">
        <v>2931</v>
      </c>
      <c r="H699" s="571" t="s">
        <v>20</v>
      </c>
      <c r="I699" s="571" t="s">
        <v>2932</v>
      </c>
      <c r="J699" s="571">
        <v>43605</v>
      </c>
      <c r="K699" s="574" t="s">
        <v>3813</v>
      </c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70"/>
      <c r="AH699" s="570"/>
      <c r="AI699" s="570"/>
      <c r="AJ699" s="570"/>
      <c r="AK699" s="570"/>
      <c r="AL699" s="570"/>
      <c r="AM699" s="570"/>
      <c r="AN699" s="570"/>
      <c r="AO699" s="570"/>
      <c r="AP699" s="570"/>
      <c r="AQ699" s="570"/>
      <c r="AR699" s="570"/>
      <c r="AS699" s="570"/>
      <c r="AT699" s="570"/>
      <c r="AU699" s="570"/>
    </row>
    <row r="700" spans="1:47" ht="15.75" customHeight="1">
      <c r="A700" s="575">
        <v>44518</v>
      </c>
      <c r="B700" s="607" t="s">
        <v>6625</v>
      </c>
      <c r="C700" s="405" t="s">
        <v>3793</v>
      </c>
      <c r="D700" s="561" t="s">
        <v>956</v>
      </c>
      <c r="E700" s="584">
        <v>121773.16</v>
      </c>
      <c r="F700" s="561" t="s">
        <v>4410</v>
      </c>
      <c r="G700" s="561" t="s">
        <v>19</v>
      </c>
      <c r="H700" s="561" t="s">
        <v>20</v>
      </c>
      <c r="I700" s="561" t="s">
        <v>3801</v>
      </c>
      <c r="J700" s="571">
        <v>44231</v>
      </c>
      <c r="K700" s="577" t="s">
        <v>3813</v>
      </c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70"/>
      <c r="AH700" s="570"/>
      <c r="AI700" s="570"/>
      <c r="AJ700" s="570"/>
      <c r="AK700" s="570"/>
      <c r="AL700" s="570"/>
      <c r="AM700" s="570"/>
      <c r="AN700" s="570"/>
      <c r="AO700" s="570"/>
      <c r="AP700" s="570"/>
      <c r="AQ700" s="570"/>
      <c r="AR700" s="570"/>
      <c r="AS700" s="570"/>
      <c r="AT700" s="570"/>
      <c r="AU700" s="570"/>
    </row>
    <row r="701" spans="1:47" ht="15.75" customHeight="1">
      <c r="A701" s="575">
        <v>44518</v>
      </c>
      <c r="B701" s="609" t="s">
        <v>6626</v>
      </c>
      <c r="C701" s="405" t="s">
        <v>3793</v>
      </c>
      <c r="D701" s="561" t="s">
        <v>6343</v>
      </c>
      <c r="E701" s="584">
        <v>31579.5</v>
      </c>
      <c r="F701" s="561" t="s">
        <v>4423</v>
      </c>
      <c r="G701" s="561" t="s">
        <v>19</v>
      </c>
      <c r="H701" s="561" t="s">
        <v>66</v>
      </c>
      <c r="I701" s="561" t="s">
        <v>316</v>
      </c>
      <c r="J701" s="571">
        <v>44413</v>
      </c>
      <c r="K701" s="577" t="s">
        <v>3817</v>
      </c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70"/>
      <c r="AH701" s="570"/>
      <c r="AI701" s="570"/>
      <c r="AJ701" s="570"/>
      <c r="AK701" s="570"/>
      <c r="AL701" s="570"/>
      <c r="AM701" s="570"/>
      <c r="AN701" s="570"/>
      <c r="AO701" s="570"/>
      <c r="AP701" s="570"/>
      <c r="AQ701" s="570"/>
      <c r="AR701" s="570"/>
      <c r="AS701" s="570"/>
      <c r="AT701" s="570"/>
      <c r="AU701" s="570"/>
    </row>
    <row r="702" spans="1:47" ht="15.75" customHeight="1">
      <c r="A702" s="575">
        <v>44519</v>
      </c>
      <c r="B702" s="603" t="s">
        <v>6474</v>
      </c>
      <c r="C702" s="405" t="s">
        <v>2929</v>
      </c>
      <c r="D702" s="561" t="s">
        <v>6343</v>
      </c>
      <c r="E702" s="584">
        <v>313886.59000000003</v>
      </c>
      <c r="F702" s="561" t="s">
        <v>3001</v>
      </c>
      <c r="G702" s="571" t="s">
        <v>19</v>
      </c>
      <c r="H702" s="571" t="s">
        <v>35</v>
      </c>
      <c r="I702" s="571" t="s">
        <v>250</v>
      </c>
      <c r="J702" s="571">
        <v>44295</v>
      </c>
      <c r="K702" s="574" t="s">
        <v>3797</v>
      </c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70"/>
      <c r="AH702" s="570"/>
      <c r="AI702" s="570"/>
      <c r="AJ702" s="570"/>
      <c r="AK702" s="570"/>
      <c r="AL702" s="570"/>
      <c r="AM702" s="570"/>
      <c r="AN702" s="570"/>
      <c r="AO702" s="570"/>
      <c r="AP702" s="570"/>
      <c r="AQ702" s="570"/>
      <c r="AR702" s="570"/>
      <c r="AS702" s="570"/>
      <c r="AT702" s="570"/>
      <c r="AU702" s="570"/>
    </row>
    <row r="703" spans="1:47" ht="15.75" customHeight="1">
      <c r="A703" s="575">
        <v>44519</v>
      </c>
      <c r="B703" s="607" t="s">
        <v>6399</v>
      </c>
      <c r="C703" s="405" t="s">
        <v>3793</v>
      </c>
      <c r="D703" s="561" t="s">
        <v>956</v>
      </c>
      <c r="E703" s="584">
        <v>251499.32</v>
      </c>
      <c r="F703" s="561" t="s">
        <v>4484</v>
      </c>
      <c r="G703" s="553" t="s">
        <v>2931</v>
      </c>
      <c r="H703" s="614" t="s">
        <v>20</v>
      </c>
      <c r="I703" s="614" t="s">
        <v>2931</v>
      </c>
      <c r="J703" s="615">
        <v>43901</v>
      </c>
      <c r="K703" s="577" t="s">
        <v>3797</v>
      </c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70"/>
      <c r="AH703" s="570"/>
      <c r="AI703" s="570"/>
      <c r="AJ703" s="570"/>
      <c r="AK703" s="570"/>
      <c r="AL703" s="570"/>
      <c r="AM703" s="570"/>
      <c r="AN703" s="570"/>
      <c r="AO703" s="570"/>
      <c r="AP703" s="570"/>
      <c r="AQ703" s="570"/>
      <c r="AR703" s="570"/>
      <c r="AS703" s="570"/>
      <c r="AT703" s="570"/>
      <c r="AU703" s="570"/>
    </row>
    <row r="704" spans="1:47" ht="15.75" customHeight="1">
      <c r="A704" s="575">
        <v>44522</v>
      </c>
      <c r="B704" s="603" t="s">
        <v>6552</v>
      </c>
      <c r="C704" s="405" t="s">
        <v>2929</v>
      </c>
      <c r="D704" s="561" t="s">
        <v>6343</v>
      </c>
      <c r="E704" s="584">
        <v>20000</v>
      </c>
      <c r="F704" s="561" t="s">
        <v>3509</v>
      </c>
      <c r="G704" s="571" t="s">
        <v>19</v>
      </c>
      <c r="H704" s="571" t="s">
        <v>35</v>
      </c>
      <c r="I704" s="571" t="s">
        <v>199</v>
      </c>
      <c r="J704" s="571">
        <v>44263</v>
      </c>
      <c r="K704" s="574" t="s">
        <v>3813</v>
      </c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70"/>
      <c r="AH704" s="570"/>
      <c r="AI704" s="570"/>
      <c r="AJ704" s="570"/>
      <c r="AK704" s="570"/>
      <c r="AL704" s="570"/>
      <c r="AM704" s="570"/>
      <c r="AN704" s="570"/>
      <c r="AO704" s="570"/>
      <c r="AP704" s="570"/>
      <c r="AQ704" s="570"/>
      <c r="AR704" s="570"/>
      <c r="AS704" s="570"/>
      <c r="AT704" s="570"/>
      <c r="AU704" s="570"/>
    </row>
    <row r="705" spans="1:47" ht="15.75" customHeight="1">
      <c r="A705" s="575">
        <v>44522</v>
      </c>
      <c r="B705" s="603" t="s">
        <v>6569</v>
      </c>
      <c r="C705" s="405" t="s">
        <v>2929</v>
      </c>
      <c r="D705" s="561" t="s">
        <v>956</v>
      </c>
      <c r="E705" s="584">
        <v>261364.56</v>
      </c>
      <c r="F705" s="561" t="s">
        <v>3238</v>
      </c>
      <c r="G705" s="571" t="s">
        <v>19</v>
      </c>
      <c r="H705" s="571" t="s">
        <v>35</v>
      </c>
      <c r="I705" s="571" t="s">
        <v>199</v>
      </c>
      <c r="J705" s="571">
        <v>44319</v>
      </c>
      <c r="K705" s="574" t="s">
        <v>3803</v>
      </c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70"/>
      <c r="AH705" s="570"/>
      <c r="AI705" s="570"/>
      <c r="AJ705" s="570"/>
      <c r="AK705" s="570"/>
      <c r="AL705" s="570"/>
      <c r="AM705" s="570"/>
      <c r="AN705" s="570"/>
      <c r="AO705" s="570"/>
      <c r="AP705" s="570"/>
      <c r="AQ705" s="570"/>
      <c r="AR705" s="570"/>
      <c r="AS705" s="570"/>
      <c r="AT705" s="570"/>
      <c r="AU705" s="570"/>
    </row>
    <row r="706" spans="1:47" ht="15.75" customHeight="1">
      <c r="A706" s="575">
        <v>44522</v>
      </c>
      <c r="B706" s="583" t="s">
        <v>6457</v>
      </c>
      <c r="C706" s="405" t="s">
        <v>2929</v>
      </c>
      <c r="D706" s="561" t="s">
        <v>6343</v>
      </c>
      <c r="E706" s="584">
        <v>80000</v>
      </c>
      <c r="F706" s="561" t="s">
        <v>3148</v>
      </c>
      <c r="G706" s="571" t="s">
        <v>19</v>
      </c>
      <c r="H706" s="571" t="s">
        <v>35</v>
      </c>
      <c r="I706" s="571" t="s">
        <v>250</v>
      </c>
      <c r="J706" s="571">
        <v>44298</v>
      </c>
      <c r="K706" s="574" t="s">
        <v>3803</v>
      </c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70"/>
      <c r="AH706" s="570"/>
      <c r="AI706" s="570"/>
      <c r="AJ706" s="570"/>
      <c r="AK706" s="570"/>
      <c r="AL706" s="570"/>
      <c r="AM706" s="570"/>
      <c r="AN706" s="570"/>
      <c r="AO706" s="570"/>
      <c r="AP706" s="570"/>
      <c r="AQ706" s="570"/>
      <c r="AR706" s="570"/>
      <c r="AS706" s="570"/>
      <c r="AT706" s="570"/>
      <c r="AU706" s="570"/>
    </row>
    <row r="707" spans="1:47" ht="15.75" customHeight="1">
      <c r="A707" s="575">
        <v>44522</v>
      </c>
      <c r="B707" s="603" t="s">
        <v>6524</v>
      </c>
      <c r="C707" s="405" t="s">
        <v>2929</v>
      </c>
      <c r="D707" s="561" t="s">
        <v>6343</v>
      </c>
      <c r="E707" s="584">
        <v>500</v>
      </c>
      <c r="F707" s="561" t="s">
        <v>425</v>
      </c>
      <c r="G707" s="571" t="s">
        <v>19</v>
      </c>
      <c r="H707" s="571" t="s">
        <v>35</v>
      </c>
      <c r="I707" s="571" t="s">
        <v>199</v>
      </c>
      <c r="J707" s="571">
        <v>44263</v>
      </c>
      <c r="K707" s="574" t="s">
        <v>3803</v>
      </c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70"/>
      <c r="AH707" s="570"/>
      <c r="AI707" s="570"/>
      <c r="AJ707" s="570"/>
      <c r="AK707" s="570"/>
      <c r="AL707" s="570"/>
      <c r="AM707" s="570"/>
      <c r="AN707" s="570"/>
      <c r="AO707" s="570"/>
      <c r="AP707" s="570"/>
      <c r="AQ707" s="570"/>
      <c r="AR707" s="570"/>
      <c r="AS707" s="570"/>
      <c r="AT707" s="570"/>
      <c r="AU707" s="570"/>
    </row>
    <row r="708" spans="1:47" ht="15.75" customHeight="1">
      <c r="A708" s="575">
        <v>44522</v>
      </c>
      <c r="B708" s="583" t="s">
        <v>6627</v>
      </c>
      <c r="C708" s="405" t="s">
        <v>2929</v>
      </c>
      <c r="D708" s="561" t="s">
        <v>6343</v>
      </c>
      <c r="E708" s="584">
        <v>650000</v>
      </c>
      <c r="F708" s="561" t="s">
        <v>3303</v>
      </c>
      <c r="G708" s="571" t="s">
        <v>19</v>
      </c>
      <c r="H708" s="571" t="s">
        <v>35</v>
      </c>
      <c r="I708" s="571" t="s">
        <v>199</v>
      </c>
      <c r="J708" s="571">
        <v>44390</v>
      </c>
      <c r="K708" s="574" t="s">
        <v>3803</v>
      </c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70"/>
      <c r="AH708" s="570"/>
      <c r="AI708" s="570"/>
      <c r="AJ708" s="570"/>
      <c r="AK708" s="570"/>
      <c r="AL708" s="570"/>
      <c r="AM708" s="570"/>
      <c r="AN708" s="570"/>
      <c r="AO708" s="570"/>
      <c r="AP708" s="570"/>
      <c r="AQ708" s="570"/>
      <c r="AR708" s="570"/>
      <c r="AS708" s="570"/>
      <c r="AT708" s="570"/>
      <c r="AU708" s="570"/>
    </row>
    <row r="709" spans="1:47" ht="15.75" customHeight="1">
      <c r="A709" s="575">
        <v>44522</v>
      </c>
      <c r="B709" s="603" t="s">
        <v>6553</v>
      </c>
      <c r="C709" s="405" t="s">
        <v>2929</v>
      </c>
      <c r="D709" s="561" t="s">
        <v>6343</v>
      </c>
      <c r="E709" s="584">
        <v>1250000</v>
      </c>
      <c r="F709" s="561" t="s">
        <v>306</v>
      </c>
      <c r="G709" s="571" t="s">
        <v>19</v>
      </c>
      <c r="H709" s="571" t="s">
        <v>35</v>
      </c>
      <c r="I709" s="571" t="s">
        <v>199</v>
      </c>
      <c r="J709" s="571">
        <v>44266</v>
      </c>
      <c r="K709" s="574" t="s">
        <v>3797</v>
      </c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70"/>
      <c r="AH709" s="570"/>
      <c r="AI709" s="570"/>
      <c r="AJ709" s="570"/>
      <c r="AK709" s="570"/>
      <c r="AL709" s="570"/>
      <c r="AM709" s="570"/>
      <c r="AN709" s="570"/>
      <c r="AO709" s="570"/>
      <c r="AP709" s="570"/>
      <c r="AQ709" s="570"/>
      <c r="AR709" s="570"/>
      <c r="AS709" s="570"/>
      <c r="AT709" s="570"/>
      <c r="AU709" s="570"/>
    </row>
    <row r="710" spans="1:47" ht="15.75" customHeight="1">
      <c r="A710" s="575">
        <v>44523</v>
      </c>
      <c r="B710" s="583" t="s">
        <v>6628</v>
      </c>
      <c r="C710" s="405" t="s">
        <v>3793</v>
      </c>
      <c r="D710" s="561" t="s">
        <v>6343</v>
      </c>
      <c r="E710" s="584">
        <v>20000</v>
      </c>
      <c r="F710" s="561" t="s">
        <v>6629</v>
      </c>
      <c r="G710" s="553" t="s">
        <v>19</v>
      </c>
      <c r="H710" s="614" t="s">
        <v>66</v>
      </c>
      <c r="I710" s="614" t="s">
        <v>316</v>
      </c>
      <c r="J710" s="615">
        <v>44287</v>
      </c>
      <c r="K710" s="577" t="s">
        <v>3803</v>
      </c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70"/>
      <c r="AH710" s="570"/>
      <c r="AI710" s="570"/>
      <c r="AJ710" s="570"/>
      <c r="AK710" s="570"/>
      <c r="AL710" s="570"/>
      <c r="AM710" s="570"/>
      <c r="AN710" s="570"/>
      <c r="AO710" s="570"/>
      <c r="AP710" s="570"/>
      <c r="AQ710" s="570"/>
      <c r="AR710" s="570"/>
      <c r="AS710" s="570"/>
      <c r="AT710" s="570"/>
      <c r="AU710" s="570"/>
    </row>
    <row r="711" spans="1:47" ht="15.75" customHeight="1">
      <c r="A711" s="575">
        <v>44523</v>
      </c>
      <c r="B711" s="583" t="s">
        <v>6482</v>
      </c>
      <c r="C711" s="405" t="s">
        <v>3793</v>
      </c>
      <c r="D711" s="561" t="s">
        <v>921</v>
      </c>
      <c r="E711" s="584">
        <v>114197.45</v>
      </c>
      <c r="F711" s="561" t="s">
        <v>6630</v>
      </c>
      <c r="G711" s="553" t="s">
        <v>19</v>
      </c>
      <c r="H711" s="614" t="s">
        <v>66</v>
      </c>
      <c r="I711" s="614" t="s">
        <v>316</v>
      </c>
      <c r="J711" s="615">
        <v>44298</v>
      </c>
      <c r="K711" s="561" t="s">
        <v>3813</v>
      </c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70"/>
      <c r="AH711" s="570"/>
      <c r="AI711" s="570"/>
      <c r="AJ711" s="570"/>
      <c r="AK711" s="570"/>
      <c r="AL711" s="570"/>
      <c r="AM711" s="570"/>
      <c r="AN711" s="570"/>
      <c r="AO711" s="570"/>
      <c r="AP711" s="570"/>
      <c r="AQ711" s="570"/>
      <c r="AR711" s="570"/>
      <c r="AS711" s="570"/>
      <c r="AT711" s="570"/>
      <c r="AU711" s="570"/>
    </row>
    <row r="712" spans="1:47" ht="15.75" customHeight="1">
      <c r="A712" s="575">
        <v>44523</v>
      </c>
      <c r="B712" s="583" t="s">
        <v>6411</v>
      </c>
      <c r="C712" s="405" t="s">
        <v>2929</v>
      </c>
      <c r="D712" s="561" t="s">
        <v>6343</v>
      </c>
      <c r="E712" s="584">
        <v>35000</v>
      </c>
      <c r="F712" s="561" t="s">
        <v>3264</v>
      </c>
      <c r="G712" s="571" t="s">
        <v>19</v>
      </c>
      <c r="H712" s="571" t="s">
        <v>35</v>
      </c>
      <c r="I712" s="571" t="s">
        <v>199</v>
      </c>
      <c r="J712" s="571">
        <v>44295</v>
      </c>
      <c r="K712" s="571" t="s">
        <v>3810</v>
      </c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70"/>
      <c r="AH712" s="570"/>
      <c r="AI712" s="570"/>
      <c r="AJ712" s="570"/>
      <c r="AK712" s="570"/>
      <c r="AL712" s="570"/>
      <c r="AM712" s="570"/>
      <c r="AN712" s="570"/>
      <c r="AO712" s="570"/>
      <c r="AP712" s="570"/>
      <c r="AQ712" s="570"/>
      <c r="AR712" s="570"/>
      <c r="AS712" s="570"/>
      <c r="AT712" s="570"/>
      <c r="AU712" s="570"/>
    </row>
    <row r="713" spans="1:47" ht="15.75" customHeight="1">
      <c r="A713" s="575">
        <v>44524</v>
      </c>
      <c r="B713" s="583" t="s">
        <v>6631</v>
      </c>
      <c r="C713" s="405" t="s">
        <v>3793</v>
      </c>
      <c r="D713" s="561" t="s">
        <v>956</v>
      </c>
      <c r="E713" s="584">
        <v>130920.08</v>
      </c>
      <c r="F713" s="561" t="s">
        <v>4581</v>
      </c>
      <c r="G713" s="561" t="s">
        <v>19</v>
      </c>
      <c r="H713" s="561" t="s">
        <v>66</v>
      </c>
      <c r="I713" s="561" t="s">
        <v>316</v>
      </c>
      <c r="J713" s="571">
        <v>44252</v>
      </c>
      <c r="K713" s="561" t="s">
        <v>3817</v>
      </c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70"/>
      <c r="AH713" s="570"/>
      <c r="AI713" s="570"/>
      <c r="AJ713" s="570"/>
      <c r="AK713" s="570"/>
      <c r="AL713" s="570"/>
      <c r="AM713" s="570"/>
      <c r="AN713" s="570"/>
      <c r="AO713" s="570"/>
      <c r="AP713" s="570"/>
      <c r="AQ713" s="570"/>
      <c r="AR713" s="570"/>
      <c r="AS713" s="570"/>
      <c r="AT713" s="570"/>
      <c r="AU713" s="570"/>
    </row>
    <row r="714" spans="1:47" ht="15.75" customHeight="1">
      <c r="A714" s="575">
        <v>44524</v>
      </c>
      <c r="B714" s="583" t="s">
        <v>6632</v>
      </c>
      <c r="C714" s="405" t="s">
        <v>3793</v>
      </c>
      <c r="D714" s="561" t="s">
        <v>956</v>
      </c>
      <c r="E714" s="584">
        <v>98719.08</v>
      </c>
      <c r="F714" s="561" t="s">
        <v>4012</v>
      </c>
      <c r="G714" s="561" t="s">
        <v>2931</v>
      </c>
      <c r="H714" s="561" t="s">
        <v>20</v>
      </c>
      <c r="I714" s="561" t="s">
        <v>2931</v>
      </c>
      <c r="J714" s="571">
        <v>44390</v>
      </c>
      <c r="K714" s="561" t="s">
        <v>3803</v>
      </c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70"/>
      <c r="AH714" s="570"/>
      <c r="AI714" s="570"/>
      <c r="AJ714" s="570"/>
      <c r="AK714" s="570"/>
      <c r="AL714" s="570"/>
      <c r="AM714" s="570"/>
      <c r="AN714" s="570"/>
      <c r="AO714" s="570"/>
      <c r="AP714" s="570"/>
      <c r="AQ714" s="570"/>
      <c r="AR714" s="570"/>
      <c r="AS714" s="570"/>
      <c r="AT714" s="570"/>
      <c r="AU714" s="570"/>
    </row>
    <row r="715" spans="1:47" ht="15.75" customHeight="1">
      <c r="A715" s="575">
        <v>44524</v>
      </c>
      <c r="B715" s="603" t="s">
        <v>6467</v>
      </c>
      <c r="C715" s="405" t="s">
        <v>2929</v>
      </c>
      <c r="D715" s="561" t="s">
        <v>6343</v>
      </c>
      <c r="E715" s="584">
        <v>59000</v>
      </c>
      <c r="F715" s="561" t="s">
        <v>2305</v>
      </c>
      <c r="G715" s="571" t="s">
        <v>19</v>
      </c>
      <c r="H715" s="571" t="s">
        <v>35</v>
      </c>
      <c r="I715" s="571" t="s">
        <v>199</v>
      </c>
      <c r="J715" s="571">
        <v>44280</v>
      </c>
      <c r="K715" s="571" t="s">
        <v>3803</v>
      </c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70"/>
      <c r="AH715" s="570"/>
      <c r="AI715" s="570"/>
      <c r="AJ715" s="570"/>
      <c r="AK715" s="570"/>
      <c r="AL715" s="570"/>
      <c r="AM715" s="570"/>
      <c r="AN715" s="570"/>
      <c r="AO715" s="570"/>
      <c r="AP715" s="570"/>
      <c r="AQ715" s="570"/>
      <c r="AR715" s="570"/>
      <c r="AS715" s="570"/>
      <c r="AT715" s="570"/>
      <c r="AU715" s="570"/>
    </row>
    <row r="716" spans="1:47" ht="15.75" customHeight="1">
      <c r="A716" s="575">
        <v>44525</v>
      </c>
      <c r="B716" s="583" t="s">
        <v>6633</v>
      </c>
      <c r="C716" s="405" t="s">
        <v>2929</v>
      </c>
      <c r="D716" s="561" t="s">
        <v>921</v>
      </c>
      <c r="E716" s="584">
        <v>95072.23</v>
      </c>
      <c r="F716" s="561" t="s">
        <v>2944</v>
      </c>
      <c r="G716" s="571" t="s">
        <v>2931</v>
      </c>
      <c r="H716" s="571" t="s">
        <v>20</v>
      </c>
      <c r="I716" s="571" t="s">
        <v>2938</v>
      </c>
      <c r="J716" s="571">
        <v>43780</v>
      </c>
      <c r="K716" s="571" t="s">
        <v>3813</v>
      </c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70"/>
      <c r="AH716" s="570"/>
      <c r="AI716" s="570"/>
      <c r="AJ716" s="570"/>
      <c r="AK716" s="570"/>
      <c r="AL716" s="570"/>
      <c r="AM716" s="570"/>
      <c r="AN716" s="570"/>
      <c r="AO716" s="570"/>
      <c r="AP716" s="570"/>
      <c r="AQ716" s="570"/>
      <c r="AR716" s="570"/>
      <c r="AS716" s="570"/>
      <c r="AT716" s="570"/>
      <c r="AU716" s="570"/>
    </row>
    <row r="717" spans="1:47" ht="15.75" customHeight="1">
      <c r="A717" s="575">
        <v>44525</v>
      </c>
      <c r="B717" s="583" t="s">
        <v>6578</v>
      </c>
      <c r="C717" s="405" t="s">
        <v>2929</v>
      </c>
      <c r="D717" s="561" t="s">
        <v>921</v>
      </c>
      <c r="E717" s="584">
        <v>287057.81</v>
      </c>
      <c r="F717" s="561" t="s">
        <v>3093</v>
      </c>
      <c r="G717" s="571" t="s">
        <v>19</v>
      </c>
      <c r="H717" s="571" t="s">
        <v>35</v>
      </c>
      <c r="I717" s="571" t="s">
        <v>250</v>
      </c>
      <c r="J717" s="571">
        <v>44393</v>
      </c>
      <c r="K717" s="571" t="s">
        <v>4340</v>
      </c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70"/>
      <c r="AH717" s="570"/>
      <c r="AI717" s="570"/>
      <c r="AJ717" s="570"/>
      <c r="AK717" s="570"/>
      <c r="AL717" s="570"/>
      <c r="AM717" s="570"/>
      <c r="AN717" s="570"/>
      <c r="AO717" s="570"/>
      <c r="AP717" s="570"/>
      <c r="AQ717" s="570"/>
      <c r="AR717" s="570"/>
      <c r="AS717" s="570"/>
      <c r="AT717" s="570"/>
      <c r="AU717" s="570"/>
    </row>
    <row r="718" spans="1:47" ht="15.75" customHeight="1">
      <c r="A718" s="575">
        <v>44525</v>
      </c>
      <c r="B718" s="583" t="s">
        <v>6634</v>
      </c>
      <c r="C718" s="405" t="s">
        <v>3793</v>
      </c>
      <c r="D718" s="561" t="s">
        <v>6343</v>
      </c>
      <c r="E718" s="584">
        <v>15000</v>
      </c>
      <c r="F718" s="561" t="s">
        <v>2460</v>
      </c>
      <c r="G718" s="561" t="s">
        <v>19</v>
      </c>
      <c r="H718" s="561" t="s">
        <v>20</v>
      </c>
      <c r="I718" s="561" t="s">
        <v>3080</v>
      </c>
      <c r="J718" s="571">
        <v>44293</v>
      </c>
      <c r="K718" s="561" t="s">
        <v>3797</v>
      </c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70"/>
      <c r="AH718" s="570"/>
      <c r="AI718" s="570"/>
      <c r="AJ718" s="570"/>
      <c r="AK718" s="570"/>
      <c r="AL718" s="570"/>
      <c r="AM718" s="570"/>
      <c r="AN718" s="570"/>
      <c r="AO718" s="570"/>
      <c r="AP718" s="570"/>
      <c r="AQ718" s="570"/>
      <c r="AR718" s="570"/>
      <c r="AS718" s="570"/>
      <c r="AT718" s="570"/>
      <c r="AU718" s="570"/>
    </row>
    <row r="719" spans="1:47" ht="15.75" customHeight="1">
      <c r="A719" s="575">
        <v>44526</v>
      </c>
      <c r="B719" s="583" t="s">
        <v>6530</v>
      </c>
      <c r="C719" s="405" t="s">
        <v>2929</v>
      </c>
      <c r="D719" s="561" t="s">
        <v>6343</v>
      </c>
      <c r="E719" s="584">
        <v>200000</v>
      </c>
      <c r="F719" s="561" t="s">
        <v>3139</v>
      </c>
      <c r="G719" s="571" t="s">
        <v>19</v>
      </c>
      <c r="H719" s="571" t="s">
        <v>35</v>
      </c>
      <c r="I719" s="571" t="s">
        <v>250</v>
      </c>
      <c r="J719" s="571">
        <v>44291</v>
      </c>
      <c r="K719" s="571" t="s">
        <v>3803</v>
      </c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70"/>
      <c r="AH719" s="570"/>
      <c r="AI719" s="570"/>
      <c r="AJ719" s="570"/>
      <c r="AK719" s="570"/>
      <c r="AL719" s="570"/>
      <c r="AM719" s="570"/>
      <c r="AN719" s="570"/>
      <c r="AO719" s="570"/>
      <c r="AP719" s="570"/>
      <c r="AQ719" s="570"/>
      <c r="AR719" s="570"/>
      <c r="AS719" s="570"/>
      <c r="AT719" s="570"/>
      <c r="AU719" s="570"/>
    </row>
    <row r="720" spans="1:47" ht="15.75" customHeight="1">
      <c r="A720" s="575">
        <v>44529</v>
      </c>
      <c r="B720" s="583" t="s">
        <v>6506</v>
      </c>
      <c r="C720" s="405" t="s">
        <v>2929</v>
      </c>
      <c r="D720" s="561" t="s">
        <v>6343</v>
      </c>
      <c r="E720" s="584">
        <v>150000</v>
      </c>
      <c r="F720" s="561" t="s">
        <v>2941</v>
      </c>
      <c r="G720" s="571" t="s">
        <v>19</v>
      </c>
      <c r="H720" s="571" t="s">
        <v>35</v>
      </c>
      <c r="I720" s="571" t="s">
        <v>250</v>
      </c>
      <c r="J720" s="571">
        <v>44321</v>
      </c>
      <c r="K720" s="571" t="s">
        <v>3813</v>
      </c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70"/>
      <c r="AH720" s="570"/>
      <c r="AI720" s="570"/>
      <c r="AJ720" s="570"/>
      <c r="AK720" s="570"/>
      <c r="AL720" s="570"/>
      <c r="AM720" s="570"/>
      <c r="AN720" s="570"/>
      <c r="AO720" s="570"/>
      <c r="AP720" s="570"/>
      <c r="AQ720" s="570"/>
      <c r="AR720" s="570"/>
      <c r="AS720" s="570"/>
      <c r="AT720" s="570"/>
      <c r="AU720" s="570"/>
    </row>
    <row r="721" spans="1:47" ht="15.75" customHeight="1">
      <c r="A721" s="575">
        <v>44530</v>
      </c>
      <c r="B721" s="583" t="s">
        <v>6635</v>
      </c>
      <c r="C721" s="405" t="s">
        <v>2929</v>
      </c>
      <c r="D721" s="561" t="s">
        <v>6343</v>
      </c>
      <c r="E721" s="584">
        <v>500000</v>
      </c>
      <c r="F721" s="561" t="s">
        <v>3401</v>
      </c>
      <c r="G721" s="571" t="s">
        <v>19</v>
      </c>
      <c r="H721" s="571" t="s">
        <v>35</v>
      </c>
      <c r="I721" s="571" t="s">
        <v>250</v>
      </c>
      <c r="J721" s="571">
        <v>44280</v>
      </c>
      <c r="K721" s="571" t="s">
        <v>3803</v>
      </c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70"/>
      <c r="AH721" s="570"/>
      <c r="AI721" s="570"/>
      <c r="AJ721" s="570"/>
      <c r="AK721" s="570"/>
      <c r="AL721" s="570"/>
      <c r="AM721" s="570"/>
      <c r="AN721" s="570"/>
      <c r="AO721" s="570"/>
      <c r="AP721" s="570"/>
      <c r="AQ721" s="570"/>
      <c r="AR721" s="570"/>
      <c r="AS721" s="570"/>
      <c r="AT721" s="570"/>
      <c r="AU721" s="570"/>
    </row>
    <row r="722" spans="1:47" ht="15.75" customHeight="1">
      <c r="A722" s="575">
        <v>44530</v>
      </c>
      <c r="B722" s="583" t="s">
        <v>6461</v>
      </c>
      <c r="C722" s="405" t="s">
        <v>2929</v>
      </c>
      <c r="D722" s="561" t="s">
        <v>6343</v>
      </c>
      <c r="E722" s="584">
        <v>50000</v>
      </c>
      <c r="F722" s="561" t="s">
        <v>3454</v>
      </c>
      <c r="G722" s="571" t="s">
        <v>19</v>
      </c>
      <c r="H722" s="571" t="s">
        <v>35</v>
      </c>
      <c r="I722" s="571" t="s">
        <v>250</v>
      </c>
      <c r="J722" s="571">
        <v>44279</v>
      </c>
      <c r="K722" s="571" t="s">
        <v>3803</v>
      </c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70"/>
      <c r="AH722" s="570"/>
      <c r="AI722" s="570"/>
      <c r="AJ722" s="570"/>
      <c r="AK722" s="570"/>
      <c r="AL722" s="570"/>
      <c r="AM722" s="570"/>
      <c r="AN722" s="570"/>
      <c r="AO722" s="570"/>
      <c r="AP722" s="570"/>
      <c r="AQ722" s="570"/>
      <c r="AR722" s="570"/>
      <c r="AS722" s="570"/>
      <c r="AT722" s="570"/>
      <c r="AU722" s="570"/>
    </row>
    <row r="723" spans="1:47" ht="15.75" customHeight="1">
      <c r="A723" s="575">
        <v>44530</v>
      </c>
      <c r="B723" s="583" t="s">
        <v>6411</v>
      </c>
      <c r="C723" s="405" t="s">
        <v>2929</v>
      </c>
      <c r="D723" s="561" t="s">
        <v>6343</v>
      </c>
      <c r="E723" s="584">
        <v>10000</v>
      </c>
      <c r="F723" s="561" t="s">
        <v>3264</v>
      </c>
      <c r="G723" s="571" t="s">
        <v>19</v>
      </c>
      <c r="H723" s="571" t="s">
        <v>35</v>
      </c>
      <c r="I723" s="571" t="s">
        <v>199</v>
      </c>
      <c r="J723" s="571">
        <v>44295</v>
      </c>
      <c r="K723" s="571" t="s">
        <v>3810</v>
      </c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70"/>
      <c r="AH723" s="570"/>
      <c r="AI723" s="570"/>
      <c r="AJ723" s="570"/>
      <c r="AK723" s="570"/>
      <c r="AL723" s="570"/>
      <c r="AM723" s="570"/>
      <c r="AN723" s="570"/>
      <c r="AO723" s="570"/>
      <c r="AP723" s="570"/>
      <c r="AQ723" s="570"/>
      <c r="AR723" s="570"/>
      <c r="AS723" s="570"/>
      <c r="AT723" s="570"/>
      <c r="AU723" s="570"/>
    </row>
    <row r="724" spans="1:47" ht="15.75" customHeight="1">
      <c r="A724" s="575">
        <v>44530</v>
      </c>
      <c r="B724" s="583" t="s">
        <v>6552</v>
      </c>
      <c r="C724" s="405" t="s">
        <v>2929</v>
      </c>
      <c r="D724" s="561" t="s">
        <v>6343</v>
      </c>
      <c r="E724" s="584">
        <v>20000</v>
      </c>
      <c r="F724" s="561" t="s">
        <v>3509</v>
      </c>
      <c r="G724" s="571" t="s">
        <v>19</v>
      </c>
      <c r="H724" s="571" t="s">
        <v>35</v>
      </c>
      <c r="I724" s="571" t="s">
        <v>199</v>
      </c>
      <c r="J724" s="571">
        <v>44263</v>
      </c>
      <c r="K724" s="571" t="s">
        <v>3813</v>
      </c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70"/>
      <c r="AH724" s="570"/>
      <c r="AI724" s="570"/>
      <c r="AJ724" s="570"/>
      <c r="AK724" s="570"/>
      <c r="AL724" s="570"/>
      <c r="AM724" s="570"/>
      <c r="AN724" s="570"/>
      <c r="AO724" s="570"/>
      <c r="AP724" s="570"/>
      <c r="AQ724" s="570"/>
      <c r="AR724" s="570"/>
      <c r="AS724" s="570"/>
      <c r="AT724" s="570"/>
      <c r="AU724" s="570"/>
    </row>
    <row r="725" spans="1:47" ht="15.75" customHeight="1">
      <c r="A725" s="575">
        <v>44531</v>
      </c>
      <c r="B725" s="583" t="s">
        <v>6477</v>
      </c>
      <c r="C725" s="405" t="s">
        <v>2929</v>
      </c>
      <c r="D725" s="561" t="s">
        <v>6343</v>
      </c>
      <c r="E725" s="584">
        <v>12000</v>
      </c>
      <c r="F725" s="561" t="s">
        <v>3472</v>
      </c>
      <c r="G725" s="571" t="s">
        <v>19</v>
      </c>
      <c r="H725" s="571" t="s">
        <v>35</v>
      </c>
      <c r="I725" s="571" t="s">
        <v>250</v>
      </c>
      <c r="J725" s="571">
        <v>44319</v>
      </c>
      <c r="K725" s="571" t="s">
        <v>3803</v>
      </c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70"/>
      <c r="AH725" s="570"/>
      <c r="AI725" s="570"/>
      <c r="AJ725" s="570"/>
      <c r="AK725" s="570"/>
      <c r="AL725" s="570"/>
      <c r="AM725" s="570"/>
      <c r="AN725" s="570"/>
      <c r="AO725" s="570"/>
      <c r="AP725" s="570"/>
      <c r="AQ725" s="570"/>
      <c r="AR725" s="570"/>
      <c r="AS725" s="570"/>
      <c r="AT725" s="570"/>
      <c r="AU725" s="570"/>
    </row>
    <row r="726" spans="1:47" ht="15.75" customHeight="1">
      <c r="A726" s="575">
        <v>44531</v>
      </c>
      <c r="B726" s="583" t="s">
        <v>6410</v>
      </c>
      <c r="C726" s="405" t="s">
        <v>2929</v>
      </c>
      <c r="D726" s="561" t="s">
        <v>6343</v>
      </c>
      <c r="E726" s="584">
        <v>40000</v>
      </c>
      <c r="F726" s="561" t="s">
        <v>850</v>
      </c>
      <c r="G726" s="571" t="s">
        <v>19</v>
      </c>
      <c r="H726" s="571" t="s">
        <v>35</v>
      </c>
      <c r="I726" s="571" t="s">
        <v>199</v>
      </c>
      <c r="J726" s="571">
        <v>44321</v>
      </c>
      <c r="K726" s="571" t="s">
        <v>3803</v>
      </c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70"/>
      <c r="AH726" s="570"/>
      <c r="AI726" s="570"/>
      <c r="AJ726" s="570"/>
      <c r="AK726" s="570"/>
      <c r="AL726" s="570"/>
      <c r="AM726" s="570"/>
      <c r="AN726" s="570"/>
      <c r="AO726" s="570"/>
      <c r="AP726" s="570"/>
      <c r="AQ726" s="570"/>
      <c r="AR726" s="570"/>
      <c r="AS726" s="570"/>
      <c r="AT726" s="570"/>
      <c r="AU726" s="570"/>
    </row>
    <row r="727" spans="1:47" ht="15.75" customHeight="1">
      <c r="A727" s="575">
        <v>44531</v>
      </c>
      <c r="B727" s="605" t="s">
        <v>6444</v>
      </c>
      <c r="C727" s="405" t="s">
        <v>3793</v>
      </c>
      <c r="D727" s="561" t="s">
        <v>6343</v>
      </c>
      <c r="E727" s="584">
        <v>5800</v>
      </c>
      <c r="F727" s="561" t="s">
        <v>5095</v>
      </c>
      <c r="G727" s="561" t="s">
        <v>46</v>
      </c>
      <c r="H727" s="561" t="s">
        <v>20</v>
      </c>
      <c r="I727" s="561" t="s">
        <v>4480</v>
      </c>
      <c r="J727" s="571">
        <v>44180</v>
      </c>
      <c r="K727" s="561" t="s">
        <v>3803</v>
      </c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70"/>
      <c r="AH727" s="570"/>
      <c r="AI727" s="570"/>
      <c r="AJ727" s="570"/>
      <c r="AK727" s="570"/>
      <c r="AL727" s="570"/>
      <c r="AM727" s="570"/>
      <c r="AN727" s="570"/>
      <c r="AO727" s="570"/>
      <c r="AP727" s="570"/>
      <c r="AQ727" s="570"/>
      <c r="AR727" s="570"/>
      <c r="AS727" s="570"/>
      <c r="AT727" s="570"/>
      <c r="AU727" s="570"/>
    </row>
    <row r="728" spans="1:47" ht="15.75" customHeight="1">
      <c r="A728" s="575">
        <v>44531</v>
      </c>
      <c r="B728" s="609" t="s">
        <v>6519</v>
      </c>
      <c r="C728" s="405" t="s">
        <v>3793</v>
      </c>
      <c r="D728" s="561" t="s">
        <v>6343</v>
      </c>
      <c r="E728" s="584">
        <v>200000</v>
      </c>
      <c r="F728" s="554" t="s">
        <v>4041</v>
      </c>
      <c r="G728" s="553" t="s">
        <v>2931</v>
      </c>
      <c r="H728" s="614" t="s">
        <v>20</v>
      </c>
      <c r="I728" s="614" t="s">
        <v>2931</v>
      </c>
      <c r="J728" s="615">
        <v>44235</v>
      </c>
      <c r="K728" s="554" t="s">
        <v>3803</v>
      </c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70"/>
      <c r="AH728" s="570"/>
      <c r="AI728" s="570"/>
      <c r="AJ728" s="570"/>
      <c r="AK728" s="570"/>
      <c r="AL728" s="570"/>
      <c r="AM728" s="570"/>
      <c r="AN728" s="570"/>
      <c r="AO728" s="570"/>
      <c r="AP728" s="570"/>
      <c r="AQ728" s="570"/>
      <c r="AR728" s="570"/>
      <c r="AS728" s="570"/>
      <c r="AT728" s="570"/>
      <c r="AU728" s="570"/>
    </row>
    <row r="729" spans="1:47" ht="15.75" customHeight="1">
      <c r="A729" s="575">
        <v>44532</v>
      </c>
      <c r="B729" s="583" t="s">
        <v>6524</v>
      </c>
      <c r="C729" s="405" t="s">
        <v>2929</v>
      </c>
      <c r="D729" s="561" t="s">
        <v>6343</v>
      </c>
      <c r="E729" s="584">
        <v>500</v>
      </c>
      <c r="F729" s="561" t="s">
        <v>425</v>
      </c>
      <c r="G729" s="571" t="s">
        <v>19</v>
      </c>
      <c r="H729" s="571" t="s">
        <v>35</v>
      </c>
      <c r="I729" s="571" t="s">
        <v>199</v>
      </c>
      <c r="J729" s="571">
        <v>44263</v>
      </c>
      <c r="K729" s="571" t="s">
        <v>3803</v>
      </c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70"/>
      <c r="AH729" s="570"/>
      <c r="AI729" s="570"/>
      <c r="AJ729" s="570"/>
      <c r="AK729" s="570"/>
      <c r="AL729" s="570"/>
      <c r="AM729" s="570"/>
      <c r="AN729" s="570"/>
      <c r="AO729" s="570"/>
      <c r="AP729" s="570"/>
      <c r="AQ729" s="570"/>
      <c r="AR729" s="570"/>
      <c r="AS729" s="570"/>
      <c r="AT729" s="570"/>
      <c r="AU729" s="570"/>
    </row>
    <row r="730" spans="1:47" ht="15.75" customHeight="1">
      <c r="A730" s="575">
        <v>44532</v>
      </c>
      <c r="B730" s="583" t="s">
        <v>6475</v>
      </c>
      <c r="C730" s="405" t="s">
        <v>2929</v>
      </c>
      <c r="D730" s="561" t="s">
        <v>6343</v>
      </c>
      <c r="E730" s="584">
        <v>10000</v>
      </c>
      <c r="F730" s="561" t="s">
        <v>3339</v>
      </c>
      <c r="G730" s="571" t="s">
        <v>19</v>
      </c>
      <c r="H730" s="571" t="s">
        <v>35</v>
      </c>
      <c r="I730" s="571" t="s">
        <v>250</v>
      </c>
      <c r="J730" s="571">
        <v>44322</v>
      </c>
      <c r="K730" s="571" t="s">
        <v>3803</v>
      </c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70"/>
      <c r="AH730" s="570"/>
      <c r="AI730" s="570"/>
      <c r="AJ730" s="570"/>
      <c r="AK730" s="570"/>
      <c r="AL730" s="570"/>
      <c r="AM730" s="570"/>
      <c r="AN730" s="570"/>
      <c r="AO730" s="570"/>
      <c r="AP730" s="570"/>
      <c r="AQ730" s="570"/>
      <c r="AR730" s="570"/>
      <c r="AS730" s="570"/>
      <c r="AT730" s="570"/>
      <c r="AU730" s="570"/>
    </row>
    <row r="731" spans="1:47" ht="15.75" customHeight="1">
      <c r="A731" s="575">
        <v>44532</v>
      </c>
      <c r="B731" s="583" t="s">
        <v>6349</v>
      </c>
      <c r="C731" s="405" t="s">
        <v>2929</v>
      </c>
      <c r="D731" s="561" t="s">
        <v>6343</v>
      </c>
      <c r="E731" s="584">
        <v>25000</v>
      </c>
      <c r="F731" s="561" t="s">
        <v>3198</v>
      </c>
      <c r="G731" s="571" t="s">
        <v>2931</v>
      </c>
      <c r="H731" s="571" t="s">
        <v>20</v>
      </c>
      <c r="I731" s="571" t="s">
        <v>2932</v>
      </c>
      <c r="J731" s="571">
        <v>43703</v>
      </c>
      <c r="K731" s="571" t="s">
        <v>4196</v>
      </c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70"/>
      <c r="AH731" s="570"/>
      <c r="AI731" s="570"/>
      <c r="AJ731" s="570"/>
      <c r="AK731" s="570"/>
      <c r="AL731" s="570"/>
      <c r="AM731" s="570"/>
      <c r="AN731" s="570"/>
      <c r="AO731" s="570"/>
      <c r="AP731" s="570"/>
      <c r="AQ731" s="570"/>
      <c r="AR731" s="570"/>
      <c r="AS731" s="570"/>
      <c r="AT731" s="570"/>
      <c r="AU731" s="570"/>
    </row>
    <row r="732" spans="1:47" ht="15.75" customHeight="1">
      <c r="A732" s="575">
        <v>44536</v>
      </c>
      <c r="B732" s="583" t="s">
        <v>6364</v>
      </c>
      <c r="C732" s="405" t="s">
        <v>2929</v>
      </c>
      <c r="D732" s="561" t="s">
        <v>6343</v>
      </c>
      <c r="E732" s="584">
        <v>6000</v>
      </c>
      <c r="F732" s="561" t="s">
        <v>3516</v>
      </c>
      <c r="G732" s="571" t="s">
        <v>2931</v>
      </c>
      <c r="H732" s="571" t="s">
        <v>20</v>
      </c>
      <c r="I732" s="571" t="s">
        <v>2932</v>
      </c>
      <c r="J732" s="571">
        <v>43717</v>
      </c>
      <c r="K732" s="571" t="s">
        <v>4196</v>
      </c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70"/>
      <c r="AH732" s="570"/>
      <c r="AI732" s="570"/>
      <c r="AJ732" s="570"/>
      <c r="AK732" s="570"/>
      <c r="AL732" s="570"/>
      <c r="AM732" s="570"/>
      <c r="AN732" s="570"/>
      <c r="AO732" s="570"/>
      <c r="AP732" s="570"/>
      <c r="AQ732" s="570"/>
      <c r="AR732" s="570"/>
      <c r="AS732" s="570"/>
      <c r="AT732" s="570"/>
      <c r="AU732" s="570"/>
    </row>
    <row r="733" spans="1:47" ht="15.75" customHeight="1">
      <c r="A733" s="575">
        <v>44536</v>
      </c>
      <c r="B733" s="572" t="s">
        <v>6351</v>
      </c>
      <c r="C733" s="405" t="s">
        <v>2929</v>
      </c>
      <c r="D733" s="561" t="s">
        <v>6343</v>
      </c>
      <c r="E733" s="584">
        <v>12000</v>
      </c>
      <c r="F733" s="561" t="s">
        <v>3235</v>
      </c>
      <c r="G733" s="571" t="s">
        <v>2931</v>
      </c>
      <c r="H733" s="571" t="s">
        <v>20</v>
      </c>
      <c r="I733" s="571" t="s">
        <v>2932</v>
      </c>
      <c r="J733" s="571">
        <v>43605</v>
      </c>
      <c r="K733" s="571" t="s">
        <v>3813</v>
      </c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70"/>
      <c r="AH733" s="570"/>
      <c r="AI733" s="570"/>
      <c r="AJ733" s="570"/>
      <c r="AK733" s="570"/>
      <c r="AL733" s="570"/>
      <c r="AM733" s="570"/>
      <c r="AN733" s="570"/>
      <c r="AO733" s="570"/>
      <c r="AP733" s="570"/>
      <c r="AQ733" s="570"/>
      <c r="AR733" s="570"/>
      <c r="AS733" s="570"/>
      <c r="AT733" s="570"/>
      <c r="AU733" s="570"/>
    </row>
    <row r="734" spans="1:47" ht="15.75" customHeight="1">
      <c r="A734" s="575">
        <v>44537</v>
      </c>
      <c r="B734" s="583" t="s">
        <v>6367</v>
      </c>
      <c r="C734" s="405" t="s">
        <v>2929</v>
      </c>
      <c r="D734" s="561" t="s">
        <v>6343</v>
      </c>
      <c r="E734" s="584">
        <v>100000</v>
      </c>
      <c r="F734" s="561" t="s">
        <v>2994</v>
      </c>
      <c r="G734" s="571" t="s">
        <v>2931</v>
      </c>
      <c r="H734" s="571" t="s">
        <v>20</v>
      </c>
      <c r="I734" s="571" t="s">
        <v>2932</v>
      </c>
      <c r="J734" s="571">
        <v>43867</v>
      </c>
      <c r="K734" s="571" t="s">
        <v>3803</v>
      </c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70"/>
      <c r="AH734" s="570"/>
      <c r="AI734" s="570"/>
      <c r="AJ734" s="570"/>
      <c r="AK734" s="570"/>
      <c r="AL734" s="570"/>
      <c r="AM734" s="570"/>
      <c r="AN734" s="570"/>
      <c r="AO734" s="570"/>
      <c r="AP734" s="570"/>
      <c r="AQ734" s="570"/>
      <c r="AR734" s="570"/>
      <c r="AS734" s="570"/>
      <c r="AT734" s="570"/>
      <c r="AU734" s="570"/>
    </row>
    <row r="735" spans="1:47" ht="15.75" customHeight="1">
      <c r="A735" s="575">
        <v>44537</v>
      </c>
      <c r="B735" s="583" t="s">
        <v>6552</v>
      </c>
      <c r="C735" s="405" t="s">
        <v>2929</v>
      </c>
      <c r="D735" s="561" t="s">
        <v>6343</v>
      </c>
      <c r="E735" s="584">
        <v>20000</v>
      </c>
      <c r="F735" s="561" t="s">
        <v>3509</v>
      </c>
      <c r="G735" s="571" t="s">
        <v>19</v>
      </c>
      <c r="H735" s="571" t="s">
        <v>35</v>
      </c>
      <c r="I735" s="571" t="s">
        <v>199</v>
      </c>
      <c r="J735" s="571">
        <v>44263</v>
      </c>
      <c r="K735" s="571" t="s">
        <v>3813</v>
      </c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70"/>
      <c r="AH735" s="570"/>
      <c r="AI735" s="570"/>
      <c r="AJ735" s="570"/>
      <c r="AK735" s="570"/>
      <c r="AL735" s="570"/>
      <c r="AM735" s="570"/>
      <c r="AN735" s="570"/>
      <c r="AO735" s="570"/>
      <c r="AP735" s="570"/>
      <c r="AQ735" s="570"/>
      <c r="AR735" s="570"/>
      <c r="AS735" s="570"/>
      <c r="AT735" s="570"/>
      <c r="AU735" s="570"/>
    </row>
    <row r="736" spans="1:47" ht="15.75" customHeight="1">
      <c r="A736" s="575">
        <v>44537</v>
      </c>
      <c r="B736" s="583" t="s">
        <v>6365</v>
      </c>
      <c r="C736" s="405" t="s">
        <v>2929</v>
      </c>
      <c r="D736" s="561" t="s">
        <v>6343</v>
      </c>
      <c r="E736" s="584">
        <v>4000</v>
      </c>
      <c r="F736" s="561" t="s">
        <v>3452</v>
      </c>
      <c r="G736" s="571" t="s">
        <v>2931</v>
      </c>
      <c r="H736" s="571" t="s">
        <v>20</v>
      </c>
      <c r="I736" s="571" t="s">
        <v>2932</v>
      </c>
      <c r="J736" s="571">
        <v>43894</v>
      </c>
      <c r="K736" s="571" t="s">
        <v>3813</v>
      </c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70"/>
      <c r="AH736" s="570"/>
      <c r="AI736" s="570"/>
      <c r="AJ736" s="570"/>
      <c r="AK736" s="570"/>
      <c r="AL736" s="570"/>
      <c r="AM736" s="570"/>
      <c r="AN736" s="570"/>
      <c r="AO736" s="570"/>
      <c r="AP736" s="570"/>
      <c r="AQ736" s="570"/>
      <c r="AR736" s="570"/>
      <c r="AS736" s="570"/>
      <c r="AT736" s="570"/>
      <c r="AU736" s="570"/>
    </row>
    <row r="737" spans="1:47" ht="15.75" customHeight="1">
      <c r="A737" s="575">
        <v>44537</v>
      </c>
      <c r="B737" s="607" t="s">
        <v>6523</v>
      </c>
      <c r="C737" s="405" t="s">
        <v>3793</v>
      </c>
      <c r="D737" s="561" t="s">
        <v>956</v>
      </c>
      <c r="E737" s="584">
        <v>165996.78</v>
      </c>
      <c r="F737" s="561" t="s">
        <v>4733</v>
      </c>
      <c r="G737" s="561" t="s">
        <v>46</v>
      </c>
      <c r="H737" s="561" t="s">
        <v>20</v>
      </c>
      <c r="I737" s="599" t="s">
        <v>4734</v>
      </c>
      <c r="J737" s="571">
        <v>44130</v>
      </c>
      <c r="K737" s="577" t="s">
        <v>3803</v>
      </c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70"/>
      <c r="AH737" s="570"/>
      <c r="AI737" s="570"/>
      <c r="AJ737" s="570"/>
      <c r="AK737" s="570"/>
      <c r="AL737" s="570"/>
      <c r="AM737" s="570"/>
      <c r="AN737" s="570"/>
      <c r="AO737" s="570"/>
      <c r="AP737" s="570"/>
      <c r="AQ737" s="570"/>
      <c r="AR737" s="570"/>
      <c r="AS737" s="570"/>
      <c r="AT737" s="570"/>
      <c r="AU737" s="570"/>
    </row>
    <row r="738" spans="1:47" ht="15.75" customHeight="1">
      <c r="A738" s="575">
        <v>44537</v>
      </c>
      <c r="B738" s="607" t="s">
        <v>6598</v>
      </c>
      <c r="C738" s="405" t="s">
        <v>3793</v>
      </c>
      <c r="D738" s="561" t="s">
        <v>956</v>
      </c>
      <c r="E738" s="584">
        <v>2049.5500000000002</v>
      </c>
      <c r="F738" s="561" t="s">
        <v>4268</v>
      </c>
      <c r="G738" s="561" t="s">
        <v>46</v>
      </c>
      <c r="H738" s="561" t="s">
        <v>20</v>
      </c>
      <c r="I738" s="561" t="s">
        <v>3861</v>
      </c>
      <c r="J738" s="571">
        <v>44075</v>
      </c>
      <c r="K738" s="561" t="s">
        <v>3797</v>
      </c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70"/>
      <c r="AH738" s="570"/>
      <c r="AI738" s="570"/>
      <c r="AJ738" s="570"/>
      <c r="AK738" s="570"/>
      <c r="AL738" s="570"/>
      <c r="AM738" s="570"/>
      <c r="AN738" s="570"/>
      <c r="AO738" s="570"/>
      <c r="AP738" s="570"/>
      <c r="AQ738" s="570"/>
      <c r="AR738" s="570"/>
      <c r="AS738" s="570"/>
      <c r="AT738" s="570"/>
      <c r="AU738" s="570"/>
    </row>
    <row r="739" spans="1:47" ht="15.75" customHeight="1">
      <c r="A739" s="575">
        <v>44538</v>
      </c>
      <c r="B739" s="596">
        <v>6549214</v>
      </c>
      <c r="C739" s="405" t="s">
        <v>3793</v>
      </c>
      <c r="D739" s="561" t="s">
        <v>6343</v>
      </c>
      <c r="E739" s="584">
        <v>24469.7</v>
      </c>
      <c r="F739" s="561" t="s">
        <v>4785</v>
      </c>
      <c r="G739" s="571" t="s">
        <v>19</v>
      </c>
      <c r="H739" s="571" t="s">
        <v>66</v>
      </c>
      <c r="I739" s="571" t="s">
        <v>4142</v>
      </c>
      <c r="J739" s="571">
        <v>44487</v>
      </c>
      <c r="K739" s="571" t="s">
        <v>3803</v>
      </c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70"/>
      <c r="AH739" s="570"/>
      <c r="AI739" s="570"/>
      <c r="AJ739" s="570"/>
      <c r="AK739" s="570"/>
      <c r="AL739" s="570"/>
      <c r="AM739" s="570"/>
      <c r="AN739" s="570"/>
      <c r="AO739" s="570"/>
      <c r="AP739" s="570"/>
      <c r="AQ739" s="570"/>
      <c r="AR739" s="570"/>
      <c r="AS739" s="570"/>
      <c r="AT739" s="570"/>
      <c r="AU739" s="570"/>
    </row>
    <row r="740" spans="1:47" ht="15.75" customHeight="1">
      <c r="A740" s="575">
        <v>44540</v>
      </c>
      <c r="B740" s="583" t="s">
        <v>6476</v>
      </c>
      <c r="C740" s="405" t="s">
        <v>2929</v>
      </c>
      <c r="D740" s="561" t="s">
        <v>6343</v>
      </c>
      <c r="E740" s="584">
        <v>10000</v>
      </c>
      <c r="F740" s="561" t="s">
        <v>3245</v>
      </c>
      <c r="G740" s="571" t="s">
        <v>19</v>
      </c>
      <c r="H740" s="571" t="s">
        <v>35</v>
      </c>
      <c r="I740" s="571" t="s">
        <v>2979</v>
      </c>
      <c r="J740" s="571">
        <v>44266</v>
      </c>
      <c r="K740" s="571" t="s">
        <v>3813</v>
      </c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70"/>
      <c r="AH740" s="570"/>
      <c r="AI740" s="570"/>
      <c r="AJ740" s="570"/>
      <c r="AK740" s="570"/>
      <c r="AL740" s="570"/>
      <c r="AM740" s="570"/>
      <c r="AN740" s="570"/>
      <c r="AO740" s="570"/>
      <c r="AP740" s="570"/>
      <c r="AQ740" s="570"/>
      <c r="AR740" s="570"/>
      <c r="AS740" s="570"/>
      <c r="AT740" s="570"/>
      <c r="AU740" s="570"/>
    </row>
    <row r="741" spans="1:47" ht="15.75" customHeight="1">
      <c r="A741" s="575">
        <v>44543</v>
      </c>
      <c r="B741" s="607" t="s">
        <v>6612</v>
      </c>
      <c r="C741" s="405" t="s">
        <v>3793</v>
      </c>
      <c r="D741" s="561" t="s">
        <v>956</v>
      </c>
      <c r="E741" s="584">
        <v>79069.899999999994</v>
      </c>
      <c r="F741" s="561" t="s">
        <v>3419</v>
      </c>
      <c r="G741" s="561" t="s">
        <v>2931</v>
      </c>
      <c r="H741" s="561" t="s">
        <v>20</v>
      </c>
      <c r="I741" s="561" t="s">
        <v>2931</v>
      </c>
      <c r="J741" s="571">
        <v>44151</v>
      </c>
      <c r="K741" s="561" t="s">
        <v>3803</v>
      </c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70"/>
      <c r="AH741" s="570"/>
      <c r="AI741" s="570"/>
      <c r="AJ741" s="570"/>
      <c r="AK741" s="570"/>
      <c r="AL741" s="570"/>
      <c r="AM741" s="570"/>
      <c r="AN741" s="570"/>
      <c r="AO741" s="570"/>
      <c r="AP741" s="570"/>
      <c r="AQ741" s="570"/>
      <c r="AR741" s="570"/>
      <c r="AS741" s="570"/>
      <c r="AT741" s="570"/>
      <c r="AU741" s="570"/>
    </row>
    <row r="742" spans="1:47" ht="15.75" customHeight="1">
      <c r="A742" s="575">
        <v>44543</v>
      </c>
      <c r="B742" s="583" t="s">
        <v>6636</v>
      </c>
      <c r="C742" s="405" t="s">
        <v>2929</v>
      </c>
      <c r="D742" s="561" t="s">
        <v>6343</v>
      </c>
      <c r="E742" s="584">
        <v>104000</v>
      </c>
      <c r="F742" s="561" t="s">
        <v>3266</v>
      </c>
      <c r="G742" s="571" t="s">
        <v>19</v>
      </c>
      <c r="H742" s="571" t="s">
        <v>35</v>
      </c>
      <c r="I742" s="571" t="s">
        <v>199</v>
      </c>
      <c r="J742" s="571">
        <v>44263</v>
      </c>
      <c r="K742" s="571" t="s">
        <v>3803</v>
      </c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70"/>
      <c r="AH742" s="570"/>
      <c r="AI742" s="570"/>
      <c r="AJ742" s="570"/>
      <c r="AK742" s="570"/>
      <c r="AL742" s="570"/>
      <c r="AM742" s="570"/>
      <c r="AN742" s="570"/>
      <c r="AO742" s="570"/>
      <c r="AP742" s="570"/>
      <c r="AQ742" s="570"/>
      <c r="AR742" s="570"/>
      <c r="AS742" s="570"/>
      <c r="AT742" s="570"/>
      <c r="AU742" s="570"/>
    </row>
    <row r="743" spans="1:47" ht="15.75" customHeight="1">
      <c r="A743" s="575">
        <v>44544</v>
      </c>
      <c r="B743" s="583" t="s">
        <v>6637</v>
      </c>
      <c r="C743" s="405" t="s">
        <v>3793</v>
      </c>
      <c r="D743" s="561" t="s">
        <v>921</v>
      </c>
      <c r="E743" s="584">
        <v>47268.23</v>
      </c>
      <c r="F743" s="561" t="s">
        <v>4815</v>
      </c>
      <c r="G743" s="561" t="s">
        <v>2931</v>
      </c>
      <c r="H743" s="561" t="s">
        <v>20</v>
      </c>
      <c r="I743" s="561" t="s">
        <v>2931</v>
      </c>
      <c r="J743" s="571">
        <v>44734</v>
      </c>
      <c r="K743" s="561" t="s">
        <v>3803</v>
      </c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70"/>
      <c r="AH743" s="570"/>
      <c r="AI743" s="570"/>
      <c r="AJ743" s="570"/>
      <c r="AK743" s="570"/>
      <c r="AL743" s="570"/>
      <c r="AM743" s="570"/>
      <c r="AN743" s="570"/>
      <c r="AO743" s="570"/>
      <c r="AP743" s="570"/>
      <c r="AQ743" s="570"/>
      <c r="AR743" s="570"/>
      <c r="AS743" s="570"/>
      <c r="AT743" s="570"/>
      <c r="AU743" s="570"/>
    </row>
    <row r="744" spans="1:47" ht="15.75" customHeight="1">
      <c r="A744" s="575">
        <v>44544</v>
      </c>
      <c r="B744" s="609" t="s">
        <v>6423</v>
      </c>
      <c r="C744" s="405" t="s">
        <v>3793</v>
      </c>
      <c r="D744" s="561" t="s">
        <v>6343</v>
      </c>
      <c r="E744" s="584">
        <v>5000</v>
      </c>
      <c r="F744" s="561" t="s">
        <v>3865</v>
      </c>
      <c r="G744" s="561" t="s">
        <v>2931</v>
      </c>
      <c r="H744" s="561" t="s">
        <v>20</v>
      </c>
      <c r="I744" s="561" t="s">
        <v>2931</v>
      </c>
      <c r="J744" s="571">
        <v>44180</v>
      </c>
      <c r="K744" s="561" t="s">
        <v>3803</v>
      </c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70"/>
      <c r="AH744" s="570"/>
      <c r="AI744" s="570"/>
      <c r="AJ744" s="570"/>
      <c r="AK744" s="570"/>
      <c r="AL744" s="570"/>
      <c r="AM744" s="570"/>
      <c r="AN744" s="570"/>
      <c r="AO744" s="570"/>
      <c r="AP744" s="570"/>
      <c r="AQ744" s="570"/>
      <c r="AR744" s="570"/>
      <c r="AS744" s="570"/>
      <c r="AT744" s="570"/>
      <c r="AU744" s="570"/>
    </row>
    <row r="745" spans="1:47" ht="15.75" customHeight="1">
      <c r="A745" s="575">
        <v>44544</v>
      </c>
      <c r="B745" s="583" t="s">
        <v>6411</v>
      </c>
      <c r="C745" s="405" t="s">
        <v>2929</v>
      </c>
      <c r="D745" s="561" t="s">
        <v>6343</v>
      </c>
      <c r="E745" s="584">
        <v>5000</v>
      </c>
      <c r="F745" s="561" t="s">
        <v>3264</v>
      </c>
      <c r="G745" s="571" t="s">
        <v>19</v>
      </c>
      <c r="H745" s="571" t="s">
        <v>35</v>
      </c>
      <c r="I745" s="571" t="s">
        <v>199</v>
      </c>
      <c r="J745" s="571">
        <v>44295</v>
      </c>
      <c r="K745" s="571" t="s">
        <v>3810</v>
      </c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70"/>
      <c r="AH745" s="570"/>
      <c r="AI745" s="570"/>
      <c r="AJ745" s="570"/>
      <c r="AK745" s="570"/>
      <c r="AL745" s="570"/>
      <c r="AM745" s="570"/>
      <c r="AN745" s="570"/>
      <c r="AO745" s="570"/>
      <c r="AP745" s="570"/>
      <c r="AQ745" s="570"/>
      <c r="AR745" s="570"/>
      <c r="AS745" s="570"/>
      <c r="AT745" s="570"/>
      <c r="AU745" s="570"/>
    </row>
    <row r="746" spans="1:47" ht="15.75" customHeight="1">
      <c r="A746" s="575">
        <v>44545</v>
      </c>
      <c r="B746" s="586" t="s">
        <v>6414</v>
      </c>
      <c r="C746" s="405" t="s">
        <v>3793</v>
      </c>
      <c r="D746" s="561" t="s">
        <v>6343</v>
      </c>
      <c r="E746" s="584">
        <v>5000</v>
      </c>
      <c r="F746" s="561" t="s">
        <v>6638</v>
      </c>
      <c r="G746" s="553" t="s">
        <v>46</v>
      </c>
      <c r="H746" s="614" t="s">
        <v>20</v>
      </c>
      <c r="I746" s="614" t="s">
        <v>3870</v>
      </c>
      <c r="J746" s="615">
        <v>44263</v>
      </c>
      <c r="K746" s="561" t="s">
        <v>3803</v>
      </c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70"/>
      <c r="AH746" s="570"/>
      <c r="AI746" s="570"/>
      <c r="AJ746" s="570"/>
      <c r="AK746" s="570"/>
      <c r="AL746" s="570"/>
      <c r="AM746" s="570"/>
      <c r="AN746" s="570"/>
      <c r="AO746" s="570"/>
      <c r="AP746" s="570"/>
      <c r="AQ746" s="570"/>
      <c r="AR746" s="570"/>
      <c r="AS746" s="570"/>
      <c r="AT746" s="570"/>
      <c r="AU746" s="570"/>
    </row>
    <row r="747" spans="1:47" ht="15.75" customHeight="1">
      <c r="A747" s="575">
        <v>44545</v>
      </c>
      <c r="B747" s="608" t="s">
        <v>6639</v>
      </c>
      <c r="C747" s="405" t="s">
        <v>3793</v>
      </c>
      <c r="D747" s="561" t="s">
        <v>956</v>
      </c>
      <c r="E747" s="584">
        <v>110068.61</v>
      </c>
      <c r="F747" s="561" t="s">
        <v>4917</v>
      </c>
      <c r="G747" s="561" t="s">
        <v>19</v>
      </c>
      <c r="H747" s="561" t="s">
        <v>66</v>
      </c>
      <c r="I747" s="561" t="s">
        <v>316</v>
      </c>
      <c r="J747" s="571">
        <v>44369</v>
      </c>
      <c r="K747" s="561" t="s">
        <v>3817</v>
      </c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70"/>
      <c r="AH747" s="570"/>
      <c r="AI747" s="570"/>
      <c r="AJ747" s="570"/>
      <c r="AK747" s="570"/>
      <c r="AL747" s="570"/>
      <c r="AM747" s="570"/>
      <c r="AN747" s="570"/>
      <c r="AO747" s="570"/>
      <c r="AP747" s="570"/>
      <c r="AQ747" s="570"/>
      <c r="AR747" s="570"/>
      <c r="AS747" s="570"/>
      <c r="AT747" s="570"/>
      <c r="AU747" s="570"/>
    </row>
    <row r="748" spans="1:47" ht="15.75" customHeight="1">
      <c r="A748" s="575">
        <v>44545</v>
      </c>
      <c r="B748" s="583" t="s">
        <v>6640</v>
      </c>
      <c r="C748" s="405" t="s">
        <v>2929</v>
      </c>
      <c r="D748" s="561" t="s">
        <v>6343</v>
      </c>
      <c r="E748" s="584">
        <v>114749.72</v>
      </c>
      <c r="F748" s="561" t="s">
        <v>3286</v>
      </c>
      <c r="G748" s="571" t="s">
        <v>19</v>
      </c>
      <c r="H748" s="571" t="s">
        <v>35</v>
      </c>
      <c r="I748" s="571" t="s">
        <v>250</v>
      </c>
      <c r="J748" s="571">
        <v>44321</v>
      </c>
      <c r="K748" s="571" t="s">
        <v>3797</v>
      </c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70"/>
      <c r="AH748" s="570"/>
      <c r="AI748" s="570"/>
      <c r="AJ748" s="570"/>
      <c r="AK748" s="570"/>
      <c r="AL748" s="570"/>
      <c r="AM748" s="570"/>
      <c r="AN748" s="570"/>
      <c r="AO748" s="570"/>
      <c r="AP748" s="570"/>
      <c r="AQ748" s="570"/>
      <c r="AR748" s="570"/>
      <c r="AS748" s="570"/>
      <c r="AT748" s="570"/>
      <c r="AU748" s="570"/>
    </row>
    <row r="749" spans="1:47" ht="15.75" customHeight="1">
      <c r="A749" s="575">
        <v>44545</v>
      </c>
      <c r="B749" s="583" t="s">
        <v>6461</v>
      </c>
      <c r="C749" s="405" t="s">
        <v>2929</v>
      </c>
      <c r="D749" s="561" t="s">
        <v>6343</v>
      </c>
      <c r="E749" s="584">
        <v>30000</v>
      </c>
      <c r="F749" s="561" t="s">
        <v>3454</v>
      </c>
      <c r="G749" s="571" t="s">
        <v>19</v>
      </c>
      <c r="H749" s="571" t="s">
        <v>35</v>
      </c>
      <c r="I749" s="571" t="s">
        <v>250</v>
      </c>
      <c r="J749" s="571">
        <v>44279</v>
      </c>
      <c r="K749" s="571" t="s">
        <v>3803</v>
      </c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70"/>
      <c r="AH749" s="570"/>
      <c r="AI749" s="570"/>
      <c r="AJ749" s="570"/>
      <c r="AK749" s="570"/>
      <c r="AL749" s="570"/>
      <c r="AM749" s="570"/>
      <c r="AN749" s="570"/>
      <c r="AO749" s="570"/>
      <c r="AP749" s="570"/>
      <c r="AQ749" s="570"/>
      <c r="AR749" s="570"/>
      <c r="AS749" s="570"/>
      <c r="AT749" s="570"/>
      <c r="AU749" s="570"/>
    </row>
    <row r="750" spans="1:47" ht="15.75" customHeight="1">
      <c r="A750" s="575">
        <v>44545</v>
      </c>
      <c r="B750" s="611" t="s">
        <v>6353</v>
      </c>
      <c r="C750" s="405" t="s">
        <v>2929</v>
      </c>
      <c r="D750" s="561" t="s">
        <v>956</v>
      </c>
      <c r="E750" s="584">
        <v>240263.39</v>
      </c>
      <c r="F750" s="561" t="s">
        <v>3075</v>
      </c>
      <c r="G750" s="571" t="s">
        <v>2931</v>
      </c>
      <c r="H750" s="571" t="s">
        <v>20</v>
      </c>
      <c r="I750" s="571" t="s">
        <v>2932</v>
      </c>
      <c r="J750" s="571">
        <v>43822</v>
      </c>
      <c r="K750" s="571" t="s">
        <v>3813</v>
      </c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70"/>
      <c r="AH750" s="570"/>
      <c r="AI750" s="570"/>
      <c r="AJ750" s="570"/>
      <c r="AK750" s="570"/>
      <c r="AL750" s="570"/>
      <c r="AM750" s="570"/>
      <c r="AN750" s="570"/>
      <c r="AO750" s="570"/>
      <c r="AP750" s="570"/>
      <c r="AQ750" s="570"/>
      <c r="AR750" s="570"/>
      <c r="AS750" s="570"/>
      <c r="AT750" s="570"/>
      <c r="AU750" s="570"/>
    </row>
    <row r="751" spans="1:47" ht="15.75" customHeight="1">
      <c r="A751" s="575">
        <v>44546</v>
      </c>
      <c r="B751" s="572" t="s">
        <v>6351</v>
      </c>
      <c r="C751" s="405" t="s">
        <v>2929</v>
      </c>
      <c r="D751" s="561" t="s">
        <v>6343</v>
      </c>
      <c r="E751" s="584">
        <v>5000</v>
      </c>
      <c r="F751" s="561" t="s">
        <v>3235</v>
      </c>
      <c r="G751" s="571" t="s">
        <v>2931</v>
      </c>
      <c r="H751" s="571" t="s">
        <v>20</v>
      </c>
      <c r="I751" s="571" t="s">
        <v>2932</v>
      </c>
      <c r="J751" s="571">
        <v>43605</v>
      </c>
      <c r="K751" s="571" t="s">
        <v>3813</v>
      </c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70"/>
      <c r="AH751" s="570"/>
      <c r="AI751" s="570"/>
      <c r="AJ751" s="570"/>
      <c r="AK751" s="570"/>
      <c r="AL751" s="570"/>
      <c r="AM751" s="570"/>
      <c r="AN751" s="570"/>
      <c r="AO751" s="570"/>
      <c r="AP751" s="570"/>
      <c r="AQ751" s="570"/>
      <c r="AR751" s="570"/>
      <c r="AS751" s="570"/>
      <c r="AT751" s="570"/>
      <c r="AU751" s="570"/>
    </row>
    <row r="752" spans="1:47" ht="15.75" customHeight="1">
      <c r="A752" s="575">
        <v>44547</v>
      </c>
      <c r="B752" s="583" t="s">
        <v>6495</v>
      </c>
      <c r="C752" s="405" t="s">
        <v>2929</v>
      </c>
      <c r="D752" s="561" t="s">
        <v>6343</v>
      </c>
      <c r="E752" s="584">
        <v>5000</v>
      </c>
      <c r="F752" s="561" t="s">
        <v>1384</v>
      </c>
      <c r="G752" s="571" t="s">
        <v>19</v>
      </c>
      <c r="H752" s="571" t="s">
        <v>35</v>
      </c>
      <c r="I752" s="571" t="s">
        <v>199</v>
      </c>
      <c r="J752" s="571">
        <v>44280</v>
      </c>
      <c r="K752" s="571" t="s">
        <v>3810</v>
      </c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70"/>
      <c r="AH752" s="570"/>
      <c r="AI752" s="570"/>
      <c r="AJ752" s="570"/>
      <c r="AK752" s="570"/>
      <c r="AL752" s="570"/>
      <c r="AM752" s="570"/>
      <c r="AN752" s="570"/>
      <c r="AO752" s="570"/>
      <c r="AP752" s="570"/>
      <c r="AQ752" s="570"/>
      <c r="AR752" s="570"/>
      <c r="AS752" s="570"/>
      <c r="AT752" s="570"/>
      <c r="AU752" s="570"/>
    </row>
    <row r="753" spans="1:47" ht="15.75" customHeight="1">
      <c r="A753" s="575">
        <v>44551</v>
      </c>
      <c r="B753" s="611" t="s">
        <v>6367</v>
      </c>
      <c r="C753" s="405" t="s">
        <v>2929</v>
      </c>
      <c r="D753" s="561" t="s">
        <v>956</v>
      </c>
      <c r="E753" s="584">
        <v>840387.52</v>
      </c>
      <c r="F753" s="561" t="s">
        <v>2994</v>
      </c>
      <c r="G753" s="571" t="s">
        <v>2931</v>
      </c>
      <c r="H753" s="571" t="s">
        <v>20</v>
      </c>
      <c r="I753" s="571" t="s">
        <v>2932</v>
      </c>
      <c r="J753" s="571">
        <v>43867</v>
      </c>
      <c r="K753" s="571" t="s">
        <v>3803</v>
      </c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70"/>
      <c r="AH753" s="570"/>
      <c r="AI753" s="570"/>
      <c r="AJ753" s="570"/>
      <c r="AK753" s="570"/>
      <c r="AL753" s="570"/>
      <c r="AM753" s="570"/>
      <c r="AN753" s="570"/>
      <c r="AO753" s="570"/>
      <c r="AP753" s="570"/>
      <c r="AQ753" s="570"/>
      <c r="AR753" s="570"/>
      <c r="AS753" s="570"/>
      <c r="AT753" s="570"/>
      <c r="AU753" s="570"/>
    </row>
    <row r="754" spans="1:47" ht="15.75" customHeight="1">
      <c r="A754" s="575">
        <v>44552</v>
      </c>
      <c r="B754" s="583" t="s">
        <v>6521</v>
      </c>
      <c r="C754" s="405" t="s">
        <v>2929</v>
      </c>
      <c r="D754" s="561" t="s">
        <v>6343</v>
      </c>
      <c r="E754" s="584">
        <v>40000</v>
      </c>
      <c r="F754" s="561" t="s">
        <v>736</v>
      </c>
      <c r="G754" s="571" t="s">
        <v>19</v>
      </c>
      <c r="H754" s="571" t="s">
        <v>35</v>
      </c>
      <c r="I754" s="571" t="s">
        <v>199</v>
      </c>
      <c r="J754" s="571">
        <v>44280</v>
      </c>
      <c r="K754" s="571" t="s">
        <v>3803</v>
      </c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70"/>
      <c r="AH754" s="570"/>
      <c r="AI754" s="570"/>
      <c r="AJ754" s="570"/>
      <c r="AK754" s="570"/>
      <c r="AL754" s="570"/>
      <c r="AM754" s="570"/>
      <c r="AN754" s="570"/>
      <c r="AO754" s="570"/>
      <c r="AP754" s="570"/>
      <c r="AQ754" s="570"/>
      <c r="AR754" s="570"/>
      <c r="AS754" s="570"/>
      <c r="AT754" s="570"/>
      <c r="AU754" s="570"/>
    </row>
    <row r="755" spans="1:47" ht="15.75" customHeight="1">
      <c r="A755" s="575">
        <v>44553</v>
      </c>
      <c r="B755" s="605" t="s">
        <v>6641</v>
      </c>
      <c r="C755" s="405" t="s">
        <v>3793</v>
      </c>
      <c r="D755" s="561" t="s">
        <v>921</v>
      </c>
      <c r="E755" s="584">
        <v>368899.52</v>
      </c>
      <c r="F755" s="561" t="s">
        <v>4826</v>
      </c>
      <c r="G755" s="561" t="s">
        <v>19</v>
      </c>
      <c r="H755" s="561" t="s">
        <v>66</v>
      </c>
      <c r="I755" s="561" t="s">
        <v>316</v>
      </c>
      <c r="J755" s="571">
        <v>44251</v>
      </c>
      <c r="K755" s="561" t="s">
        <v>3803</v>
      </c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70"/>
      <c r="AH755" s="570"/>
      <c r="AI755" s="570"/>
      <c r="AJ755" s="570"/>
      <c r="AK755" s="570"/>
      <c r="AL755" s="570"/>
      <c r="AM755" s="570"/>
      <c r="AN755" s="570"/>
      <c r="AO755" s="570"/>
      <c r="AP755" s="570"/>
      <c r="AQ755" s="570"/>
      <c r="AR755" s="570"/>
      <c r="AS755" s="570"/>
      <c r="AT755" s="570"/>
      <c r="AU755" s="570"/>
    </row>
    <row r="756" spans="1:47" ht="15.75" customHeight="1">
      <c r="A756" s="575">
        <v>44553</v>
      </c>
      <c r="B756" s="583" t="s">
        <v>6552</v>
      </c>
      <c r="C756" s="405" t="s">
        <v>2929</v>
      </c>
      <c r="D756" s="561" t="s">
        <v>6343</v>
      </c>
      <c r="E756" s="584">
        <v>30000</v>
      </c>
      <c r="F756" s="561" t="s">
        <v>3509</v>
      </c>
      <c r="G756" s="571" t="s">
        <v>19</v>
      </c>
      <c r="H756" s="571" t="s">
        <v>35</v>
      </c>
      <c r="I756" s="571" t="s">
        <v>199</v>
      </c>
      <c r="J756" s="571">
        <v>44263</v>
      </c>
      <c r="K756" s="571" t="s">
        <v>3813</v>
      </c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70"/>
      <c r="AH756" s="570"/>
      <c r="AI756" s="570"/>
      <c r="AJ756" s="570"/>
      <c r="AK756" s="570"/>
      <c r="AL756" s="570"/>
      <c r="AM756" s="570"/>
      <c r="AN756" s="570"/>
      <c r="AO756" s="570"/>
      <c r="AP756" s="570"/>
      <c r="AQ756" s="570"/>
      <c r="AR756" s="570"/>
      <c r="AS756" s="570"/>
      <c r="AT756" s="570"/>
      <c r="AU756" s="570"/>
    </row>
    <row r="757" spans="1:47" ht="15.75" customHeight="1">
      <c r="A757" s="575">
        <v>44553</v>
      </c>
      <c r="B757" s="583" t="s">
        <v>6611</v>
      </c>
      <c r="C757" s="405" t="s">
        <v>2929</v>
      </c>
      <c r="D757" s="561" t="s">
        <v>6343</v>
      </c>
      <c r="E757" s="584">
        <v>40000</v>
      </c>
      <c r="F757" s="561" t="s">
        <v>3346</v>
      </c>
      <c r="G757" s="571" t="s">
        <v>19</v>
      </c>
      <c r="H757" s="571" t="s">
        <v>35</v>
      </c>
      <c r="I757" s="571" t="s">
        <v>199</v>
      </c>
      <c r="J757" s="571">
        <v>44323</v>
      </c>
      <c r="K757" s="571" t="s">
        <v>3850</v>
      </c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70"/>
      <c r="AH757" s="570"/>
      <c r="AI757" s="570"/>
      <c r="AJ757" s="570"/>
      <c r="AK757" s="570"/>
      <c r="AL757" s="570"/>
      <c r="AM757" s="570"/>
      <c r="AN757" s="570"/>
      <c r="AO757" s="570"/>
      <c r="AP757" s="570"/>
      <c r="AQ757" s="570"/>
      <c r="AR757" s="570"/>
      <c r="AS757" s="570"/>
      <c r="AT757" s="570"/>
      <c r="AU757" s="570"/>
    </row>
    <row r="758" spans="1:47" ht="15.75" customHeight="1">
      <c r="A758" s="575">
        <v>44553</v>
      </c>
      <c r="B758" s="583" t="s">
        <v>6553</v>
      </c>
      <c r="C758" s="405" t="s">
        <v>2929</v>
      </c>
      <c r="D758" s="561" t="s">
        <v>6343</v>
      </c>
      <c r="E758" s="584">
        <v>100000</v>
      </c>
      <c r="F758" s="561" t="s">
        <v>306</v>
      </c>
      <c r="G758" s="571" t="s">
        <v>19</v>
      </c>
      <c r="H758" s="571" t="s">
        <v>35</v>
      </c>
      <c r="I758" s="571" t="s">
        <v>199</v>
      </c>
      <c r="J758" s="571">
        <v>44266</v>
      </c>
      <c r="K758" s="571" t="s">
        <v>3797</v>
      </c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70"/>
      <c r="AH758" s="570"/>
      <c r="AI758" s="570"/>
      <c r="AJ758" s="570"/>
      <c r="AK758" s="570"/>
      <c r="AL758" s="570"/>
      <c r="AM758" s="570"/>
      <c r="AN758" s="570"/>
      <c r="AO758" s="570"/>
      <c r="AP758" s="570"/>
      <c r="AQ758" s="570"/>
      <c r="AR758" s="570"/>
      <c r="AS758" s="570"/>
      <c r="AT758" s="570"/>
      <c r="AU758" s="570"/>
    </row>
    <row r="759" spans="1:47" ht="15.75" customHeight="1">
      <c r="A759" s="575">
        <v>44557</v>
      </c>
      <c r="B759" s="572" t="s">
        <v>6351</v>
      </c>
      <c r="C759" s="405" t="s">
        <v>2929</v>
      </c>
      <c r="D759" s="561" t="s">
        <v>6343</v>
      </c>
      <c r="E759" s="584">
        <v>14000</v>
      </c>
      <c r="F759" s="561" t="s">
        <v>3235</v>
      </c>
      <c r="G759" s="571" t="s">
        <v>2931</v>
      </c>
      <c r="H759" s="571" t="s">
        <v>20</v>
      </c>
      <c r="I759" s="571" t="s">
        <v>2932</v>
      </c>
      <c r="J759" s="571">
        <v>43605</v>
      </c>
      <c r="K759" s="571" t="s">
        <v>3813</v>
      </c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70"/>
      <c r="AH759" s="570"/>
      <c r="AI759" s="570"/>
      <c r="AJ759" s="570"/>
      <c r="AK759" s="570"/>
      <c r="AL759" s="570"/>
      <c r="AM759" s="570"/>
      <c r="AN759" s="570"/>
      <c r="AO759" s="570"/>
      <c r="AP759" s="570"/>
      <c r="AQ759" s="570"/>
      <c r="AR759" s="570"/>
      <c r="AS759" s="570"/>
      <c r="AT759" s="570"/>
      <c r="AU759" s="570"/>
    </row>
    <row r="760" spans="1:47" ht="15.75" customHeight="1">
      <c r="A760" s="575">
        <v>44559</v>
      </c>
      <c r="B760" s="583" t="s">
        <v>6364</v>
      </c>
      <c r="C760" s="405" t="s">
        <v>2929</v>
      </c>
      <c r="D760" s="561" t="s">
        <v>6343</v>
      </c>
      <c r="E760" s="584">
        <v>5000</v>
      </c>
      <c r="F760" s="561" t="s">
        <v>3516</v>
      </c>
      <c r="G760" s="571" t="s">
        <v>2931</v>
      </c>
      <c r="H760" s="571" t="s">
        <v>20</v>
      </c>
      <c r="I760" s="571" t="s">
        <v>2932</v>
      </c>
      <c r="J760" s="571">
        <v>43717</v>
      </c>
      <c r="K760" s="571" t="s">
        <v>4196</v>
      </c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70"/>
      <c r="AH760" s="570"/>
      <c r="AI760" s="570"/>
      <c r="AJ760" s="570"/>
      <c r="AK760" s="570"/>
      <c r="AL760" s="570"/>
      <c r="AM760" s="570"/>
      <c r="AN760" s="570"/>
      <c r="AO760" s="570"/>
      <c r="AP760" s="570"/>
      <c r="AQ760" s="570"/>
      <c r="AR760" s="570"/>
      <c r="AS760" s="570"/>
      <c r="AT760" s="570"/>
      <c r="AU760" s="570"/>
    </row>
    <row r="761" spans="1:47" ht="15.75" customHeight="1">
      <c r="A761" s="575">
        <v>44559</v>
      </c>
      <c r="B761" s="608" t="s">
        <v>6642</v>
      </c>
      <c r="C761" s="405" t="s">
        <v>3793</v>
      </c>
      <c r="D761" s="561" t="s">
        <v>956</v>
      </c>
      <c r="E761" s="584">
        <v>97410.240000000005</v>
      </c>
      <c r="F761" s="561" t="s">
        <v>6643</v>
      </c>
      <c r="G761" s="561" t="s">
        <v>19</v>
      </c>
      <c r="H761" s="561" t="s">
        <v>20</v>
      </c>
      <c r="I761" s="561" t="s">
        <v>3689</v>
      </c>
      <c r="J761" s="571">
        <v>44354</v>
      </c>
      <c r="K761" s="561" t="s">
        <v>3817</v>
      </c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70"/>
      <c r="AH761" s="570"/>
      <c r="AI761" s="570"/>
      <c r="AJ761" s="570"/>
      <c r="AK761" s="570"/>
      <c r="AL761" s="570"/>
      <c r="AM761" s="570"/>
      <c r="AN761" s="570"/>
      <c r="AO761" s="570"/>
      <c r="AP761" s="570"/>
      <c r="AQ761" s="570"/>
      <c r="AR761" s="570"/>
      <c r="AS761" s="570"/>
      <c r="AT761" s="570"/>
      <c r="AU761" s="570"/>
    </row>
    <row r="762" spans="1:47" ht="15.75" customHeight="1">
      <c r="A762" s="335">
        <v>44566.405864444445</v>
      </c>
      <c r="B762" s="583" t="s">
        <v>6552</v>
      </c>
      <c r="C762" s="405" t="s">
        <v>2929</v>
      </c>
      <c r="D762" s="561" t="s">
        <v>6343</v>
      </c>
      <c r="E762" s="584" t="s">
        <v>6644</v>
      </c>
      <c r="F762" s="561" t="s">
        <v>3509</v>
      </c>
      <c r="G762" s="571" t="s">
        <v>19</v>
      </c>
      <c r="H762" s="571" t="s">
        <v>35</v>
      </c>
      <c r="I762" s="571" t="s">
        <v>199</v>
      </c>
      <c r="J762" s="571">
        <v>44263</v>
      </c>
      <c r="K762" s="571" t="s">
        <v>3813</v>
      </c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70"/>
      <c r="AH762" s="570"/>
      <c r="AI762" s="570"/>
      <c r="AJ762" s="570"/>
      <c r="AK762" s="570"/>
      <c r="AL762" s="570"/>
      <c r="AM762" s="570"/>
      <c r="AN762" s="570"/>
      <c r="AO762" s="570"/>
      <c r="AP762" s="570"/>
      <c r="AQ762" s="570"/>
      <c r="AR762" s="570"/>
      <c r="AS762" s="570"/>
      <c r="AT762" s="570"/>
      <c r="AU762" s="570"/>
    </row>
    <row r="763" spans="1:47" ht="15.75" customHeight="1">
      <c r="A763" s="335">
        <v>44567.470252824074</v>
      </c>
      <c r="B763" s="583" t="s">
        <v>6645</v>
      </c>
      <c r="C763" s="405" t="s">
        <v>2929</v>
      </c>
      <c r="D763" s="561" t="s">
        <v>921</v>
      </c>
      <c r="E763" s="585">
        <v>648751.76</v>
      </c>
      <c r="F763" s="561" t="s">
        <v>3158</v>
      </c>
      <c r="G763" s="571" t="s">
        <v>19</v>
      </c>
      <c r="H763" s="571" t="s">
        <v>35</v>
      </c>
      <c r="I763" s="571" t="s">
        <v>199</v>
      </c>
      <c r="J763" s="571">
        <v>44280</v>
      </c>
      <c r="K763" s="571" t="s">
        <v>3797</v>
      </c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70"/>
      <c r="AH763" s="570"/>
      <c r="AI763" s="570"/>
      <c r="AJ763" s="570"/>
      <c r="AK763" s="570"/>
      <c r="AL763" s="570"/>
      <c r="AM763" s="570"/>
      <c r="AN763" s="570"/>
      <c r="AO763" s="570"/>
      <c r="AP763" s="570"/>
      <c r="AQ763" s="570"/>
      <c r="AR763" s="570"/>
      <c r="AS763" s="570"/>
      <c r="AT763" s="570"/>
      <c r="AU763" s="570"/>
    </row>
    <row r="764" spans="1:47" ht="15.75" customHeight="1">
      <c r="A764" s="335">
        <v>44567.6009122338</v>
      </c>
      <c r="B764" s="583" t="s">
        <v>6646</v>
      </c>
      <c r="C764" s="405" t="s">
        <v>2929</v>
      </c>
      <c r="D764" s="561" t="s">
        <v>921</v>
      </c>
      <c r="E764" s="604">
        <v>146875.19</v>
      </c>
      <c r="F764" s="561" t="s">
        <v>3530</v>
      </c>
      <c r="G764" s="571" t="s">
        <v>19</v>
      </c>
      <c r="H764" s="571" t="s">
        <v>35</v>
      </c>
      <c r="I764" s="571" t="s">
        <v>250</v>
      </c>
      <c r="J764" s="571">
        <v>44340</v>
      </c>
      <c r="K764" s="571" t="s">
        <v>3813</v>
      </c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70"/>
      <c r="AH764" s="570"/>
      <c r="AI764" s="570"/>
      <c r="AJ764" s="570"/>
      <c r="AK764" s="570"/>
      <c r="AL764" s="570"/>
      <c r="AM764" s="570"/>
      <c r="AN764" s="570"/>
      <c r="AO764" s="570"/>
      <c r="AP764" s="570"/>
      <c r="AQ764" s="570"/>
      <c r="AR764" s="570"/>
      <c r="AS764" s="570"/>
      <c r="AT764" s="570"/>
      <c r="AU764" s="570"/>
    </row>
    <row r="765" spans="1:47" ht="15.75" customHeight="1">
      <c r="A765" s="335">
        <v>44567.606299722218</v>
      </c>
      <c r="B765" s="583" t="s">
        <v>6530</v>
      </c>
      <c r="C765" s="405" t="s">
        <v>2929</v>
      </c>
      <c r="D765" s="561" t="s">
        <v>6343</v>
      </c>
      <c r="E765" s="584" t="s">
        <v>6647</v>
      </c>
      <c r="F765" s="561" t="s">
        <v>3139</v>
      </c>
      <c r="G765" s="571" t="s">
        <v>19</v>
      </c>
      <c r="H765" s="571" t="s">
        <v>35</v>
      </c>
      <c r="I765" s="571" t="s">
        <v>250</v>
      </c>
      <c r="J765" s="571">
        <v>44291</v>
      </c>
      <c r="K765" s="571" t="s">
        <v>3803</v>
      </c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70"/>
      <c r="AH765" s="570"/>
      <c r="AI765" s="570"/>
      <c r="AJ765" s="570"/>
      <c r="AK765" s="570"/>
      <c r="AL765" s="570"/>
      <c r="AM765" s="570"/>
      <c r="AN765" s="570"/>
      <c r="AO765" s="570"/>
      <c r="AP765" s="570"/>
      <c r="AQ765" s="570"/>
      <c r="AR765" s="570"/>
      <c r="AS765" s="570"/>
      <c r="AT765" s="570"/>
      <c r="AU765" s="570"/>
    </row>
    <row r="766" spans="1:47" ht="15.75" customHeight="1">
      <c r="A766" s="335">
        <v>44568.43395849537</v>
      </c>
      <c r="B766" s="583" t="s">
        <v>6506</v>
      </c>
      <c r="C766" s="405" t="s">
        <v>2929</v>
      </c>
      <c r="D766" s="561" t="s">
        <v>6343</v>
      </c>
      <c r="E766" s="584" t="s">
        <v>6648</v>
      </c>
      <c r="F766" s="561" t="s">
        <v>2941</v>
      </c>
      <c r="G766" s="571" t="s">
        <v>19</v>
      </c>
      <c r="H766" s="571" t="s">
        <v>35</v>
      </c>
      <c r="I766" s="571" t="s">
        <v>250</v>
      </c>
      <c r="J766" s="571">
        <v>44321</v>
      </c>
      <c r="K766" s="571" t="s">
        <v>3813</v>
      </c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70"/>
      <c r="AH766" s="570"/>
      <c r="AI766" s="570"/>
      <c r="AJ766" s="570"/>
      <c r="AK766" s="570"/>
      <c r="AL766" s="570"/>
      <c r="AM766" s="570"/>
      <c r="AN766" s="570"/>
      <c r="AO766" s="570"/>
      <c r="AP766" s="570"/>
      <c r="AQ766" s="570"/>
      <c r="AR766" s="570"/>
      <c r="AS766" s="570"/>
      <c r="AT766" s="570"/>
      <c r="AU766" s="570"/>
    </row>
    <row r="767" spans="1:47" ht="15.75" customHeight="1">
      <c r="A767" s="335">
        <v>44568.568650995367</v>
      </c>
      <c r="B767" s="583" t="s">
        <v>6649</v>
      </c>
      <c r="C767" s="405" t="s">
        <v>2929</v>
      </c>
      <c r="D767" s="561" t="s">
        <v>6343</v>
      </c>
      <c r="E767" s="584" t="s">
        <v>6650</v>
      </c>
      <c r="F767" s="561" t="s">
        <v>3153</v>
      </c>
      <c r="G767" s="571" t="s">
        <v>19</v>
      </c>
      <c r="H767" s="571" t="s">
        <v>35</v>
      </c>
      <c r="I767" s="571" t="s">
        <v>250</v>
      </c>
      <c r="J767" s="571">
        <v>44280</v>
      </c>
      <c r="K767" s="571" t="s">
        <v>3797</v>
      </c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70"/>
      <c r="AH767" s="570"/>
      <c r="AI767" s="570"/>
      <c r="AJ767" s="570"/>
      <c r="AK767" s="570"/>
      <c r="AL767" s="570"/>
      <c r="AM767" s="570"/>
      <c r="AN767" s="570"/>
      <c r="AO767" s="570"/>
      <c r="AP767" s="570"/>
      <c r="AQ767" s="570"/>
      <c r="AR767" s="570"/>
      <c r="AS767" s="570"/>
      <c r="AT767" s="570"/>
      <c r="AU767" s="570"/>
    </row>
    <row r="768" spans="1:47" ht="15.75" customHeight="1">
      <c r="A768" s="335">
        <v>44569</v>
      </c>
      <c r="B768" s="583" t="s">
        <v>3693</v>
      </c>
      <c r="C768" s="405" t="s">
        <v>3613</v>
      </c>
      <c r="D768" s="561" t="s">
        <v>956</v>
      </c>
      <c r="E768" s="584">
        <v>151280.20000000001</v>
      </c>
      <c r="F768" s="561" t="s">
        <v>3692</v>
      </c>
      <c r="G768" s="571" t="s">
        <v>19</v>
      </c>
      <c r="H768" s="571" t="s">
        <v>20</v>
      </c>
      <c r="I768" s="571" t="s">
        <v>3659</v>
      </c>
      <c r="J768" s="571">
        <v>43731</v>
      </c>
      <c r="K768" s="571" t="s">
        <v>3797</v>
      </c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70"/>
      <c r="AH768" s="570"/>
      <c r="AI768" s="570"/>
      <c r="AJ768" s="570"/>
      <c r="AK768" s="570"/>
      <c r="AL768" s="570"/>
      <c r="AM768" s="570"/>
      <c r="AN768" s="570"/>
      <c r="AO768" s="570"/>
      <c r="AP768" s="570"/>
      <c r="AQ768" s="570"/>
      <c r="AR768" s="570"/>
      <c r="AS768" s="570"/>
      <c r="AT768" s="570"/>
      <c r="AU768" s="570"/>
    </row>
    <row r="769" spans="1:47" ht="15.75" customHeight="1">
      <c r="A769" s="335">
        <v>44571.46989226852</v>
      </c>
      <c r="B769" s="583" t="s">
        <v>6552</v>
      </c>
      <c r="C769" s="405" t="s">
        <v>2929</v>
      </c>
      <c r="D769" s="561" t="s">
        <v>6343</v>
      </c>
      <c r="E769" s="584" t="s">
        <v>6651</v>
      </c>
      <c r="F769" s="561" t="s">
        <v>3509</v>
      </c>
      <c r="G769" s="571" t="s">
        <v>19</v>
      </c>
      <c r="H769" s="571" t="s">
        <v>35</v>
      </c>
      <c r="I769" s="571" t="s">
        <v>199</v>
      </c>
      <c r="J769" s="571">
        <v>44263</v>
      </c>
      <c r="K769" s="571" t="s">
        <v>3813</v>
      </c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70"/>
      <c r="AH769" s="570"/>
      <c r="AI769" s="570"/>
      <c r="AJ769" s="570"/>
      <c r="AK769" s="570"/>
      <c r="AL769" s="570"/>
      <c r="AM769" s="570"/>
      <c r="AN769" s="570"/>
      <c r="AO769" s="570"/>
      <c r="AP769" s="570"/>
      <c r="AQ769" s="570"/>
      <c r="AR769" s="570"/>
      <c r="AS769" s="570"/>
      <c r="AT769" s="570"/>
      <c r="AU769" s="570"/>
    </row>
    <row r="770" spans="1:47" ht="15.75" customHeight="1">
      <c r="A770" s="335">
        <v>44571.517733935187</v>
      </c>
      <c r="B770" s="572" t="s">
        <v>3636</v>
      </c>
      <c r="C770" s="405" t="s">
        <v>3613</v>
      </c>
      <c r="D770" s="561" t="s">
        <v>6343</v>
      </c>
      <c r="E770" s="584">
        <v>8500</v>
      </c>
      <c r="F770" s="561" t="s">
        <v>3635</v>
      </c>
      <c r="G770" s="571" t="s">
        <v>19</v>
      </c>
      <c r="H770" s="571" t="s">
        <v>20</v>
      </c>
      <c r="I770" s="571" t="s">
        <v>19</v>
      </c>
      <c r="J770" s="571">
        <v>44062</v>
      </c>
      <c r="K770" s="571" t="s">
        <v>3803</v>
      </c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70"/>
      <c r="AH770" s="570"/>
      <c r="AI770" s="570"/>
      <c r="AJ770" s="570"/>
      <c r="AK770" s="570"/>
      <c r="AL770" s="570"/>
      <c r="AM770" s="570"/>
      <c r="AN770" s="570"/>
      <c r="AO770" s="570"/>
      <c r="AP770" s="570"/>
      <c r="AQ770" s="570"/>
      <c r="AR770" s="570"/>
      <c r="AS770" s="570"/>
      <c r="AT770" s="570"/>
      <c r="AU770" s="570"/>
    </row>
    <row r="771" spans="1:47" ht="15.75" customHeight="1">
      <c r="A771" s="335">
        <v>44571.517733935187</v>
      </c>
      <c r="B771" s="583" t="s">
        <v>6411</v>
      </c>
      <c r="C771" s="405" t="s">
        <v>2929</v>
      </c>
      <c r="D771" s="561" t="s">
        <v>6343</v>
      </c>
      <c r="E771" s="584" t="s">
        <v>6652</v>
      </c>
      <c r="F771" s="561" t="s">
        <v>3264</v>
      </c>
      <c r="G771" s="571" t="s">
        <v>19</v>
      </c>
      <c r="H771" s="571" t="s">
        <v>35</v>
      </c>
      <c r="I771" s="571" t="s">
        <v>199</v>
      </c>
      <c r="J771" s="571">
        <v>44295</v>
      </c>
      <c r="K771" s="571" t="s">
        <v>3810</v>
      </c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70"/>
      <c r="AH771" s="570"/>
      <c r="AI771" s="570"/>
      <c r="AJ771" s="570"/>
      <c r="AK771" s="570"/>
      <c r="AL771" s="570"/>
      <c r="AM771" s="570"/>
      <c r="AN771" s="570"/>
      <c r="AO771" s="570"/>
      <c r="AP771" s="570"/>
      <c r="AQ771" s="570"/>
      <c r="AR771" s="570"/>
      <c r="AS771" s="570"/>
      <c r="AT771" s="570"/>
      <c r="AU771" s="570"/>
    </row>
    <row r="772" spans="1:47" ht="15.75" customHeight="1">
      <c r="A772" s="335">
        <v>44572.448788240741</v>
      </c>
      <c r="B772" s="583" t="s">
        <v>6477</v>
      </c>
      <c r="C772" s="405" t="s">
        <v>2929</v>
      </c>
      <c r="D772" s="561" t="s">
        <v>6343</v>
      </c>
      <c r="E772" s="584" t="s">
        <v>6652</v>
      </c>
      <c r="F772" s="561" t="s">
        <v>3472</v>
      </c>
      <c r="G772" s="571" t="s">
        <v>19</v>
      </c>
      <c r="H772" s="571" t="s">
        <v>35</v>
      </c>
      <c r="I772" s="571" t="s">
        <v>250</v>
      </c>
      <c r="J772" s="571">
        <v>44319</v>
      </c>
      <c r="K772" s="571" t="s">
        <v>3803</v>
      </c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70"/>
      <c r="AH772" s="570"/>
      <c r="AI772" s="570"/>
      <c r="AJ772" s="570"/>
      <c r="AK772" s="570"/>
      <c r="AL772" s="570"/>
      <c r="AM772" s="570"/>
      <c r="AN772" s="570"/>
      <c r="AO772" s="570"/>
      <c r="AP772" s="570"/>
      <c r="AQ772" s="570"/>
      <c r="AR772" s="570"/>
      <c r="AS772" s="570"/>
      <c r="AT772" s="570"/>
      <c r="AU772" s="570"/>
    </row>
    <row r="773" spans="1:47" ht="15.75" customHeight="1">
      <c r="A773" s="335">
        <v>44573</v>
      </c>
      <c r="B773" s="617" t="s">
        <v>3666</v>
      </c>
      <c r="C773" s="405" t="s">
        <v>3613</v>
      </c>
      <c r="D773" s="561" t="s">
        <v>921</v>
      </c>
      <c r="E773" s="584">
        <v>9354.08</v>
      </c>
      <c r="F773" s="561" t="s">
        <v>3665</v>
      </c>
      <c r="G773" s="571" t="s">
        <v>19</v>
      </c>
      <c r="H773" s="571" t="s">
        <v>20</v>
      </c>
      <c r="I773" s="571" t="s">
        <v>3667</v>
      </c>
      <c r="J773" s="571">
        <v>43718</v>
      </c>
      <c r="K773" s="571" t="s">
        <v>3813</v>
      </c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70"/>
      <c r="AH773" s="570"/>
      <c r="AI773" s="570"/>
      <c r="AJ773" s="570"/>
      <c r="AK773" s="570"/>
      <c r="AL773" s="570"/>
      <c r="AM773" s="570"/>
      <c r="AN773" s="570"/>
      <c r="AO773" s="570"/>
      <c r="AP773" s="570"/>
      <c r="AQ773" s="570"/>
      <c r="AR773" s="570"/>
      <c r="AS773" s="570"/>
      <c r="AT773" s="570"/>
      <c r="AU773" s="570"/>
    </row>
    <row r="774" spans="1:47" ht="15.75" customHeight="1">
      <c r="A774" s="335">
        <v>44573</v>
      </c>
      <c r="B774" s="583" t="s">
        <v>6475</v>
      </c>
      <c r="C774" s="405" t="s">
        <v>2929</v>
      </c>
      <c r="D774" s="561" t="s">
        <v>6343</v>
      </c>
      <c r="E774" s="584">
        <v>3000</v>
      </c>
      <c r="F774" s="561" t="s">
        <v>3339</v>
      </c>
      <c r="G774" s="571" t="s">
        <v>19</v>
      </c>
      <c r="H774" s="571" t="s">
        <v>35</v>
      </c>
      <c r="I774" s="571" t="s">
        <v>250</v>
      </c>
      <c r="J774" s="571">
        <v>44322</v>
      </c>
      <c r="K774" s="571" t="s">
        <v>3803</v>
      </c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70"/>
      <c r="AH774" s="570"/>
      <c r="AI774" s="570"/>
      <c r="AJ774" s="570"/>
      <c r="AK774" s="570"/>
      <c r="AL774" s="570"/>
      <c r="AM774" s="570"/>
      <c r="AN774" s="570"/>
      <c r="AO774" s="570"/>
      <c r="AP774" s="570"/>
      <c r="AQ774" s="570"/>
      <c r="AR774" s="570"/>
      <c r="AS774" s="570"/>
      <c r="AT774" s="570"/>
      <c r="AU774" s="570"/>
    </row>
    <row r="775" spans="1:47" ht="15.75" customHeight="1">
      <c r="A775" s="335">
        <v>44575</v>
      </c>
      <c r="B775" s="607" t="s">
        <v>6653</v>
      </c>
      <c r="C775" s="405" t="s">
        <v>3793</v>
      </c>
      <c r="D775" s="561" t="s">
        <v>956</v>
      </c>
      <c r="E775" s="584">
        <v>659874.72</v>
      </c>
      <c r="F775" s="561" t="s">
        <v>4855</v>
      </c>
      <c r="G775" s="561" t="s">
        <v>46</v>
      </c>
      <c r="H775" s="561" t="s">
        <v>20</v>
      </c>
      <c r="I775" s="561" t="s">
        <v>3981</v>
      </c>
      <c r="J775" s="571">
        <v>44005</v>
      </c>
      <c r="K775" s="561" t="s">
        <v>3797</v>
      </c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70"/>
      <c r="AH775" s="570"/>
      <c r="AI775" s="570"/>
      <c r="AJ775" s="570"/>
      <c r="AK775" s="570"/>
      <c r="AL775" s="570"/>
      <c r="AM775" s="570"/>
      <c r="AN775" s="570"/>
      <c r="AO775" s="570"/>
      <c r="AP775" s="570"/>
      <c r="AQ775" s="570"/>
      <c r="AR775" s="570"/>
      <c r="AS775" s="570"/>
      <c r="AT775" s="570"/>
      <c r="AU775" s="570"/>
    </row>
    <row r="776" spans="1:47" ht="15.75" customHeight="1">
      <c r="A776" s="335">
        <v>44575</v>
      </c>
      <c r="B776" s="616" t="s">
        <v>3705</v>
      </c>
      <c r="C776" s="405" t="s">
        <v>3613</v>
      </c>
      <c r="D776" s="561" t="s">
        <v>956</v>
      </c>
      <c r="E776" s="584">
        <v>147515.9</v>
      </c>
      <c r="F776" s="561" t="s">
        <v>3704</v>
      </c>
      <c r="G776" s="571" t="s">
        <v>19</v>
      </c>
      <c r="H776" s="571" t="s">
        <v>20</v>
      </c>
      <c r="I776" s="571" t="s">
        <v>3080</v>
      </c>
      <c r="J776" s="571">
        <v>43873</v>
      </c>
      <c r="K776" s="571" t="s">
        <v>3797</v>
      </c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70"/>
      <c r="AH776" s="570"/>
      <c r="AI776" s="570"/>
      <c r="AJ776" s="570"/>
      <c r="AK776" s="570"/>
      <c r="AL776" s="570"/>
      <c r="AM776" s="570"/>
      <c r="AN776" s="570"/>
      <c r="AO776" s="570"/>
      <c r="AP776" s="570"/>
      <c r="AQ776" s="570"/>
      <c r="AR776" s="570"/>
      <c r="AS776" s="570"/>
      <c r="AT776" s="570"/>
      <c r="AU776" s="570"/>
    </row>
    <row r="777" spans="1:47" ht="15.75" customHeight="1">
      <c r="A777" s="335">
        <v>44575</v>
      </c>
      <c r="B777" s="617" t="s">
        <v>6457</v>
      </c>
      <c r="C777" s="405" t="s">
        <v>2929</v>
      </c>
      <c r="D777" s="561" t="s">
        <v>6343</v>
      </c>
      <c r="E777" s="584">
        <v>80000</v>
      </c>
      <c r="F777" s="561" t="s">
        <v>3148</v>
      </c>
      <c r="G777" s="571" t="s">
        <v>19</v>
      </c>
      <c r="H777" s="571" t="s">
        <v>35</v>
      </c>
      <c r="I777" s="571" t="s">
        <v>250</v>
      </c>
      <c r="J777" s="571">
        <v>44298</v>
      </c>
      <c r="K777" s="571" t="s">
        <v>3803</v>
      </c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70"/>
      <c r="AH777" s="570"/>
      <c r="AI777" s="570"/>
      <c r="AJ777" s="570"/>
      <c r="AK777" s="570"/>
      <c r="AL777" s="570"/>
      <c r="AM777" s="570"/>
      <c r="AN777" s="570"/>
      <c r="AO777" s="570"/>
      <c r="AP777" s="570"/>
      <c r="AQ777" s="570"/>
      <c r="AR777" s="570"/>
      <c r="AS777" s="570"/>
      <c r="AT777" s="570"/>
      <c r="AU777" s="570"/>
    </row>
    <row r="778" spans="1:47" ht="15.75" customHeight="1">
      <c r="A778" s="335">
        <v>44575</v>
      </c>
      <c r="B778" s="617" t="s">
        <v>6365</v>
      </c>
      <c r="C778" s="405" t="s">
        <v>2929</v>
      </c>
      <c r="D778" s="561" t="s">
        <v>6343</v>
      </c>
      <c r="E778" s="584">
        <v>5000</v>
      </c>
      <c r="F778" s="561" t="s">
        <v>3452</v>
      </c>
      <c r="G778" s="571" t="s">
        <v>2931</v>
      </c>
      <c r="H778" s="571" t="s">
        <v>20</v>
      </c>
      <c r="I778" s="571" t="s">
        <v>2932</v>
      </c>
      <c r="J778" s="571">
        <v>43894</v>
      </c>
      <c r="K778" s="571" t="s">
        <v>3813</v>
      </c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70"/>
      <c r="AH778" s="570"/>
      <c r="AI778" s="570"/>
      <c r="AJ778" s="570"/>
      <c r="AK778" s="570"/>
      <c r="AL778" s="570"/>
      <c r="AM778" s="570"/>
      <c r="AN778" s="570"/>
      <c r="AO778" s="570"/>
      <c r="AP778" s="570"/>
      <c r="AQ778" s="570"/>
      <c r="AR778" s="570"/>
      <c r="AS778" s="570"/>
      <c r="AT778" s="570"/>
      <c r="AU778" s="570"/>
    </row>
    <row r="779" spans="1:47" ht="15.75" customHeight="1">
      <c r="A779" s="335">
        <v>44578</v>
      </c>
      <c r="B779" s="617" t="s">
        <v>6457</v>
      </c>
      <c r="C779" s="405" t="s">
        <v>2929</v>
      </c>
      <c r="D779" s="561" t="s">
        <v>956</v>
      </c>
      <c r="E779" s="584">
        <v>181959.12</v>
      </c>
      <c r="F779" s="561" t="s">
        <v>3148</v>
      </c>
      <c r="G779" s="571" t="s">
        <v>19</v>
      </c>
      <c r="H779" s="571" t="s">
        <v>35</v>
      </c>
      <c r="I779" s="571" t="s">
        <v>250</v>
      </c>
      <c r="J779" s="571">
        <v>44298</v>
      </c>
      <c r="K779" s="571" t="s">
        <v>3803</v>
      </c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70"/>
      <c r="AH779" s="570"/>
      <c r="AI779" s="570"/>
      <c r="AJ779" s="570"/>
      <c r="AK779" s="570"/>
      <c r="AL779" s="570"/>
      <c r="AM779" s="570"/>
      <c r="AN779" s="570"/>
      <c r="AO779" s="570"/>
      <c r="AP779" s="570"/>
      <c r="AQ779" s="570"/>
      <c r="AR779" s="570"/>
      <c r="AS779" s="570"/>
      <c r="AT779" s="570"/>
      <c r="AU779" s="570"/>
    </row>
    <row r="780" spans="1:47" ht="15.75" customHeight="1">
      <c r="A780" s="335">
        <v>44578</v>
      </c>
      <c r="B780" s="605" t="s">
        <v>6654</v>
      </c>
      <c r="C780" s="405" t="s">
        <v>3793</v>
      </c>
      <c r="D780" s="561" t="s">
        <v>6343</v>
      </c>
      <c r="E780" s="584">
        <v>50000</v>
      </c>
      <c r="F780" s="561" t="s">
        <v>3959</v>
      </c>
      <c r="G780" s="561" t="s">
        <v>19</v>
      </c>
      <c r="H780" s="561" t="s">
        <v>20</v>
      </c>
      <c r="I780" s="561" t="s">
        <v>3960</v>
      </c>
      <c r="J780" s="571">
        <v>44061</v>
      </c>
      <c r="K780" s="561" t="s">
        <v>3803</v>
      </c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70"/>
      <c r="AH780" s="570"/>
      <c r="AI780" s="570"/>
      <c r="AJ780" s="570"/>
      <c r="AK780" s="570"/>
      <c r="AL780" s="570"/>
      <c r="AM780" s="570"/>
      <c r="AN780" s="570"/>
      <c r="AO780" s="570"/>
      <c r="AP780" s="570"/>
      <c r="AQ780" s="570"/>
      <c r="AR780" s="570"/>
      <c r="AS780" s="570"/>
      <c r="AT780" s="570"/>
      <c r="AU780" s="570"/>
    </row>
    <row r="781" spans="1:47" ht="15.75" customHeight="1">
      <c r="A781" s="335">
        <v>44578</v>
      </c>
      <c r="B781" s="583" t="s">
        <v>6411</v>
      </c>
      <c r="C781" s="405" t="s">
        <v>2929</v>
      </c>
      <c r="D781" s="561" t="s">
        <v>6343</v>
      </c>
      <c r="E781" s="584">
        <v>10000</v>
      </c>
      <c r="F781" s="561" t="s">
        <v>3264</v>
      </c>
      <c r="G781" s="571" t="s">
        <v>19</v>
      </c>
      <c r="H781" s="571" t="s">
        <v>35</v>
      </c>
      <c r="I781" s="571" t="s">
        <v>199</v>
      </c>
      <c r="J781" s="571">
        <v>44295</v>
      </c>
      <c r="K781" s="571" t="s">
        <v>3810</v>
      </c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70"/>
      <c r="AH781" s="570"/>
      <c r="AI781" s="570"/>
      <c r="AJ781" s="570"/>
      <c r="AK781" s="570"/>
      <c r="AL781" s="570"/>
      <c r="AM781" s="570"/>
      <c r="AN781" s="570"/>
      <c r="AO781" s="570"/>
      <c r="AP781" s="570"/>
      <c r="AQ781" s="570"/>
      <c r="AR781" s="570"/>
      <c r="AS781" s="570"/>
      <c r="AT781" s="570"/>
      <c r="AU781" s="570"/>
    </row>
    <row r="782" spans="1:47" ht="15.75" customHeight="1">
      <c r="A782" s="335">
        <v>44578</v>
      </c>
      <c r="B782" s="583" t="s">
        <v>6655</v>
      </c>
      <c r="C782" s="405" t="s">
        <v>2929</v>
      </c>
      <c r="D782" s="561" t="s">
        <v>6343</v>
      </c>
      <c r="E782" s="584">
        <v>15000</v>
      </c>
      <c r="F782" s="561" t="s">
        <v>3275</v>
      </c>
      <c r="G782" s="571" t="s">
        <v>19</v>
      </c>
      <c r="H782" s="571" t="s">
        <v>35</v>
      </c>
      <c r="I782" s="571" t="s">
        <v>250</v>
      </c>
      <c r="J782" s="571">
        <v>44333</v>
      </c>
      <c r="K782" s="571" t="s">
        <v>3813</v>
      </c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70"/>
      <c r="AH782" s="570"/>
      <c r="AI782" s="570"/>
      <c r="AJ782" s="570"/>
      <c r="AK782" s="570"/>
      <c r="AL782" s="570"/>
      <c r="AM782" s="570"/>
      <c r="AN782" s="570"/>
      <c r="AO782" s="570"/>
      <c r="AP782" s="570"/>
      <c r="AQ782" s="570"/>
      <c r="AR782" s="570"/>
      <c r="AS782" s="570"/>
      <c r="AT782" s="570"/>
      <c r="AU782" s="570"/>
    </row>
    <row r="783" spans="1:47" ht="15.75" customHeight="1">
      <c r="A783" s="335">
        <v>44578</v>
      </c>
      <c r="B783" s="607" t="s">
        <v>6656</v>
      </c>
      <c r="C783" s="405" t="s">
        <v>3793</v>
      </c>
      <c r="D783" s="561" t="s">
        <v>956</v>
      </c>
      <c r="E783" s="584">
        <v>109449.2</v>
      </c>
      <c r="F783" s="561" t="s">
        <v>3897</v>
      </c>
      <c r="G783" s="561" t="s">
        <v>46</v>
      </c>
      <c r="H783" s="561" t="s">
        <v>20</v>
      </c>
      <c r="I783" s="561" t="s">
        <v>3898</v>
      </c>
      <c r="J783" s="571">
        <v>44202</v>
      </c>
      <c r="K783" s="561" t="s">
        <v>3797</v>
      </c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70"/>
      <c r="AH783" s="570"/>
      <c r="AI783" s="570"/>
      <c r="AJ783" s="570"/>
      <c r="AK783" s="570"/>
      <c r="AL783" s="570"/>
      <c r="AM783" s="570"/>
      <c r="AN783" s="570"/>
      <c r="AO783" s="570"/>
      <c r="AP783" s="570"/>
      <c r="AQ783" s="570"/>
      <c r="AR783" s="570"/>
      <c r="AS783" s="570"/>
      <c r="AT783" s="570"/>
      <c r="AU783" s="570"/>
    </row>
    <row r="784" spans="1:47" ht="15.75" customHeight="1">
      <c r="A784" s="335">
        <v>44579</v>
      </c>
      <c r="B784" s="605" t="s">
        <v>6561</v>
      </c>
      <c r="C784" s="405" t="s">
        <v>3793</v>
      </c>
      <c r="D784" s="561" t="s">
        <v>921</v>
      </c>
      <c r="E784" s="584">
        <v>139991.04000000001</v>
      </c>
      <c r="F784" s="561" t="s">
        <v>6657</v>
      </c>
      <c r="G784" s="561" t="s">
        <v>19</v>
      </c>
      <c r="H784" s="561" t="s">
        <v>66</v>
      </c>
      <c r="I784" s="561" t="s">
        <v>316</v>
      </c>
      <c r="J784" s="571">
        <v>44204</v>
      </c>
      <c r="K784" s="561" t="s">
        <v>4018</v>
      </c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70"/>
      <c r="AH784" s="570"/>
      <c r="AI784" s="570"/>
      <c r="AJ784" s="570"/>
      <c r="AK784" s="570"/>
      <c r="AL784" s="570"/>
      <c r="AM784" s="570"/>
      <c r="AN784" s="570"/>
      <c r="AO784" s="570"/>
      <c r="AP784" s="570"/>
      <c r="AQ784" s="570"/>
      <c r="AR784" s="570"/>
      <c r="AS784" s="570"/>
      <c r="AT784" s="570"/>
      <c r="AU784" s="570"/>
    </row>
    <row r="785" spans="1:47" ht="15.75" customHeight="1">
      <c r="A785" s="335">
        <v>44579</v>
      </c>
      <c r="B785" s="596">
        <v>7048589</v>
      </c>
      <c r="C785" s="405" t="s">
        <v>3793</v>
      </c>
      <c r="D785" s="561" t="s">
        <v>921</v>
      </c>
      <c r="E785" s="584">
        <v>193747.43</v>
      </c>
      <c r="F785" s="561" t="s">
        <v>4921</v>
      </c>
      <c r="G785" s="571" t="s">
        <v>19</v>
      </c>
      <c r="H785" s="571" t="s">
        <v>66</v>
      </c>
      <c r="I785" s="571" t="s">
        <v>265</v>
      </c>
      <c r="J785" s="571">
        <v>44508</v>
      </c>
      <c r="K785" s="571" t="s">
        <v>3813</v>
      </c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70"/>
      <c r="AH785" s="570"/>
      <c r="AI785" s="570"/>
      <c r="AJ785" s="570"/>
      <c r="AK785" s="570"/>
      <c r="AL785" s="570"/>
      <c r="AM785" s="570"/>
      <c r="AN785" s="570"/>
      <c r="AO785" s="570"/>
      <c r="AP785" s="570"/>
      <c r="AQ785" s="570"/>
      <c r="AR785" s="570"/>
      <c r="AS785" s="570"/>
      <c r="AT785" s="570"/>
      <c r="AU785" s="570"/>
    </row>
    <row r="786" spans="1:47" ht="15.75" customHeight="1">
      <c r="A786" s="335">
        <v>44579</v>
      </c>
      <c r="B786" s="605" t="s">
        <v>6444</v>
      </c>
      <c r="C786" s="405" t="s">
        <v>3793</v>
      </c>
      <c r="D786" s="561" t="s">
        <v>6343</v>
      </c>
      <c r="E786" s="584">
        <v>12000</v>
      </c>
      <c r="F786" s="561" t="s">
        <v>5095</v>
      </c>
      <c r="G786" s="561" t="s">
        <v>46</v>
      </c>
      <c r="H786" s="561" t="s">
        <v>20</v>
      </c>
      <c r="I786" s="561" t="s">
        <v>4480</v>
      </c>
      <c r="J786" s="571">
        <v>44180</v>
      </c>
      <c r="K786" s="561" t="s">
        <v>3803</v>
      </c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70"/>
      <c r="AH786" s="570"/>
      <c r="AI786" s="570"/>
      <c r="AJ786" s="570"/>
      <c r="AK786" s="570"/>
      <c r="AL786" s="570"/>
      <c r="AM786" s="570"/>
      <c r="AN786" s="570"/>
      <c r="AO786" s="570"/>
      <c r="AP786" s="570"/>
      <c r="AQ786" s="570"/>
      <c r="AR786" s="570"/>
      <c r="AS786" s="570"/>
      <c r="AT786" s="570"/>
      <c r="AU786" s="570"/>
    </row>
    <row r="787" spans="1:47" ht="15.75" customHeight="1">
      <c r="A787" s="335">
        <v>44580</v>
      </c>
      <c r="B787" s="583" t="s">
        <v>6645</v>
      </c>
      <c r="C787" s="405" t="s">
        <v>2929</v>
      </c>
      <c r="D787" s="561" t="s">
        <v>956</v>
      </c>
      <c r="E787" s="584">
        <v>0</v>
      </c>
      <c r="F787" s="561" t="s">
        <v>3158</v>
      </c>
      <c r="G787" s="571" t="s">
        <v>19</v>
      </c>
      <c r="H787" s="571" t="s">
        <v>35</v>
      </c>
      <c r="I787" s="571" t="s">
        <v>199</v>
      </c>
      <c r="J787" s="571">
        <v>44280</v>
      </c>
      <c r="K787" s="571" t="s">
        <v>3797</v>
      </c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70"/>
      <c r="AH787" s="570"/>
      <c r="AI787" s="570"/>
      <c r="AJ787" s="570"/>
      <c r="AK787" s="570"/>
      <c r="AL787" s="570"/>
      <c r="AM787" s="570"/>
      <c r="AN787" s="570"/>
      <c r="AO787" s="570"/>
      <c r="AP787" s="570"/>
      <c r="AQ787" s="570"/>
      <c r="AR787" s="570"/>
      <c r="AS787" s="570"/>
      <c r="AT787" s="570"/>
      <c r="AU787" s="570"/>
    </row>
    <row r="788" spans="1:47" ht="15.75" customHeight="1">
      <c r="A788" s="335">
        <v>44580</v>
      </c>
      <c r="B788" s="583" t="s">
        <v>6658</v>
      </c>
      <c r="C788" s="405" t="s">
        <v>2929</v>
      </c>
      <c r="D788" s="561" t="s">
        <v>6343</v>
      </c>
      <c r="E788" s="584">
        <v>25000</v>
      </c>
      <c r="F788" s="561" t="s">
        <v>3356</v>
      </c>
      <c r="G788" s="571" t="s">
        <v>2931</v>
      </c>
      <c r="H788" s="571" t="s">
        <v>20</v>
      </c>
      <c r="I788" s="571" t="s">
        <v>2932</v>
      </c>
      <c r="J788" s="571">
        <v>43811</v>
      </c>
      <c r="K788" s="571" t="s">
        <v>3813</v>
      </c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70"/>
      <c r="AH788" s="570"/>
      <c r="AI788" s="570"/>
      <c r="AJ788" s="570"/>
      <c r="AK788" s="570"/>
      <c r="AL788" s="570"/>
      <c r="AM788" s="570"/>
      <c r="AN788" s="570"/>
      <c r="AO788" s="570"/>
      <c r="AP788" s="570"/>
      <c r="AQ788" s="570"/>
      <c r="AR788" s="570"/>
      <c r="AS788" s="570"/>
      <c r="AT788" s="570"/>
      <c r="AU788" s="570"/>
    </row>
    <row r="789" spans="1:47" ht="15.75" customHeight="1">
      <c r="A789" s="335">
        <v>44581</v>
      </c>
      <c r="B789" s="583" t="s">
        <v>6659</v>
      </c>
      <c r="C789" s="405" t="s">
        <v>3793</v>
      </c>
      <c r="D789" s="561" t="s">
        <v>921</v>
      </c>
      <c r="E789" s="584">
        <v>13213.29</v>
      </c>
      <c r="F789" s="561" t="s">
        <v>4470</v>
      </c>
      <c r="G789" s="553" t="s">
        <v>19</v>
      </c>
      <c r="H789" s="614" t="s">
        <v>66</v>
      </c>
      <c r="I789" s="614" t="s">
        <v>316</v>
      </c>
      <c r="J789" s="615">
        <v>44405</v>
      </c>
      <c r="K789" s="554" t="s">
        <v>3803</v>
      </c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70"/>
      <c r="AH789" s="570"/>
      <c r="AI789" s="570"/>
      <c r="AJ789" s="570"/>
      <c r="AK789" s="570"/>
      <c r="AL789" s="570"/>
      <c r="AM789" s="570"/>
      <c r="AN789" s="570"/>
      <c r="AO789" s="570"/>
      <c r="AP789" s="570"/>
      <c r="AQ789" s="570"/>
      <c r="AR789" s="570"/>
      <c r="AS789" s="570"/>
      <c r="AT789" s="570"/>
      <c r="AU789" s="570"/>
    </row>
    <row r="790" spans="1:47" ht="15.75" customHeight="1">
      <c r="A790" s="335">
        <v>44581</v>
      </c>
      <c r="B790" s="583" t="s">
        <v>6419</v>
      </c>
      <c r="C790" s="405" t="s">
        <v>2929</v>
      </c>
      <c r="D790" s="561" t="s">
        <v>6343</v>
      </c>
      <c r="E790" s="585">
        <v>13800</v>
      </c>
      <c r="F790" s="561" t="s">
        <v>3540</v>
      </c>
      <c r="G790" s="571" t="s">
        <v>2931</v>
      </c>
      <c r="H790" s="571" t="s">
        <v>20</v>
      </c>
      <c r="I790" s="571" t="s">
        <v>2938</v>
      </c>
      <c r="J790" s="571">
        <v>43822</v>
      </c>
      <c r="K790" s="571" t="s">
        <v>3813</v>
      </c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70"/>
      <c r="AH790" s="570"/>
      <c r="AI790" s="570"/>
      <c r="AJ790" s="570"/>
      <c r="AK790" s="570"/>
      <c r="AL790" s="570"/>
      <c r="AM790" s="570"/>
      <c r="AN790" s="570"/>
      <c r="AO790" s="570"/>
      <c r="AP790" s="570"/>
      <c r="AQ790" s="570"/>
      <c r="AR790" s="570"/>
      <c r="AS790" s="570"/>
      <c r="AT790" s="570"/>
      <c r="AU790" s="570"/>
    </row>
    <row r="791" spans="1:47" ht="15.75" customHeight="1">
      <c r="A791" s="335">
        <v>44581</v>
      </c>
      <c r="B791" s="583" t="s">
        <v>6364</v>
      </c>
      <c r="C791" s="405" t="s">
        <v>2929</v>
      </c>
      <c r="D791" s="561" t="s">
        <v>956</v>
      </c>
      <c r="E791" s="585">
        <v>3800</v>
      </c>
      <c r="F791" s="561" t="s">
        <v>3516</v>
      </c>
      <c r="G791" s="571" t="s">
        <v>2931</v>
      </c>
      <c r="H791" s="571" t="s">
        <v>20</v>
      </c>
      <c r="I791" s="571" t="s">
        <v>2932</v>
      </c>
      <c r="J791" s="571">
        <v>43717</v>
      </c>
      <c r="K791" s="571" t="s">
        <v>4196</v>
      </c>
      <c r="L791" s="589"/>
      <c r="M791" s="589"/>
      <c r="N791" s="589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70"/>
      <c r="AH791" s="570"/>
      <c r="AI791" s="570"/>
      <c r="AJ791" s="570"/>
      <c r="AK791" s="570"/>
      <c r="AL791" s="570"/>
      <c r="AM791" s="570"/>
      <c r="AN791" s="570"/>
      <c r="AO791" s="570"/>
      <c r="AP791" s="570"/>
      <c r="AQ791" s="570"/>
      <c r="AR791" s="570"/>
      <c r="AS791" s="570"/>
      <c r="AT791" s="570"/>
      <c r="AU791" s="570"/>
    </row>
    <row r="792" spans="1:47" ht="15.75" customHeight="1">
      <c r="A792" s="335">
        <v>44581</v>
      </c>
      <c r="B792" s="583" t="s">
        <v>6624</v>
      </c>
      <c r="C792" s="405" t="s">
        <v>2929</v>
      </c>
      <c r="D792" s="561" t="s">
        <v>921</v>
      </c>
      <c r="E792" s="584">
        <v>11926.38</v>
      </c>
      <c r="F792" s="561" t="s">
        <v>3027</v>
      </c>
      <c r="G792" s="571" t="s">
        <v>2931</v>
      </c>
      <c r="H792" s="571" t="s">
        <v>20</v>
      </c>
      <c r="I792" s="571" t="s">
        <v>2932</v>
      </c>
      <c r="J792" s="571">
        <v>43769</v>
      </c>
      <c r="K792" s="571" t="s">
        <v>3813</v>
      </c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70"/>
      <c r="AH792" s="570"/>
      <c r="AI792" s="570"/>
      <c r="AJ792" s="570"/>
      <c r="AK792" s="570"/>
      <c r="AL792" s="570"/>
      <c r="AM792" s="570"/>
      <c r="AN792" s="570"/>
      <c r="AO792" s="570"/>
      <c r="AP792" s="570"/>
      <c r="AQ792" s="570"/>
      <c r="AR792" s="570"/>
      <c r="AS792" s="570"/>
      <c r="AT792" s="570"/>
      <c r="AU792" s="570"/>
    </row>
    <row r="793" spans="1:47" ht="15.75" customHeight="1">
      <c r="A793" s="335">
        <v>44582</v>
      </c>
      <c r="B793" s="583" t="s">
        <v>6415</v>
      </c>
      <c r="C793" s="405" t="s">
        <v>2929</v>
      </c>
      <c r="D793" s="561" t="s">
        <v>921</v>
      </c>
      <c r="E793" s="584">
        <v>219739.11</v>
      </c>
      <c r="F793" s="561" t="s">
        <v>3293</v>
      </c>
      <c r="G793" s="571" t="s">
        <v>19</v>
      </c>
      <c r="H793" s="571" t="s">
        <v>35</v>
      </c>
      <c r="I793" s="571" t="s">
        <v>199</v>
      </c>
      <c r="J793" s="571">
        <v>44319</v>
      </c>
      <c r="K793" s="571" t="s">
        <v>3803</v>
      </c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70"/>
      <c r="AH793" s="570"/>
      <c r="AI793" s="570"/>
      <c r="AJ793" s="570"/>
      <c r="AK793" s="570"/>
      <c r="AL793" s="570"/>
      <c r="AM793" s="570"/>
      <c r="AN793" s="570"/>
      <c r="AO793" s="570"/>
      <c r="AP793" s="570"/>
      <c r="AQ793" s="570"/>
      <c r="AR793" s="570"/>
      <c r="AS793" s="570"/>
      <c r="AT793" s="570"/>
      <c r="AU793" s="570"/>
    </row>
    <row r="794" spans="1:47" ht="15.75" customHeight="1">
      <c r="A794" s="335">
        <v>44582</v>
      </c>
      <c r="B794" s="576" t="s">
        <v>6351</v>
      </c>
      <c r="C794" s="405" t="s">
        <v>2929</v>
      </c>
      <c r="D794" s="561" t="s">
        <v>6343</v>
      </c>
      <c r="E794" s="584">
        <v>3000</v>
      </c>
      <c r="F794" s="561" t="s">
        <v>3235</v>
      </c>
      <c r="G794" s="571" t="s">
        <v>2931</v>
      </c>
      <c r="H794" s="571" t="s">
        <v>20</v>
      </c>
      <c r="I794" s="571" t="s">
        <v>2932</v>
      </c>
      <c r="J794" s="571">
        <v>43605</v>
      </c>
      <c r="K794" s="571" t="s">
        <v>3813</v>
      </c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70"/>
      <c r="AH794" s="570"/>
      <c r="AI794" s="570"/>
      <c r="AJ794" s="570"/>
      <c r="AK794" s="570"/>
      <c r="AL794" s="570"/>
      <c r="AM794" s="570"/>
      <c r="AN794" s="570"/>
      <c r="AO794" s="570"/>
      <c r="AP794" s="570"/>
      <c r="AQ794" s="570"/>
      <c r="AR794" s="570"/>
      <c r="AS794" s="570"/>
      <c r="AT794" s="570"/>
      <c r="AU794" s="570"/>
    </row>
    <row r="795" spans="1:47" ht="15.75" customHeight="1">
      <c r="A795" s="335">
        <v>44582</v>
      </c>
      <c r="B795" s="583" t="s">
        <v>6473</v>
      </c>
      <c r="C795" s="405" t="s">
        <v>2929</v>
      </c>
      <c r="D795" s="561" t="s">
        <v>6343</v>
      </c>
      <c r="E795" s="584">
        <v>30000</v>
      </c>
      <c r="F795" s="561" t="s">
        <v>3282</v>
      </c>
      <c r="G795" s="571" t="s">
        <v>19</v>
      </c>
      <c r="H795" s="571" t="s">
        <v>35</v>
      </c>
      <c r="I795" s="571" t="s">
        <v>250</v>
      </c>
      <c r="J795" s="571">
        <v>44280</v>
      </c>
      <c r="K795" s="571" t="s">
        <v>3803</v>
      </c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70"/>
      <c r="AH795" s="570"/>
      <c r="AI795" s="570"/>
      <c r="AJ795" s="570"/>
      <c r="AK795" s="570"/>
      <c r="AL795" s="570"/>
      <c r="AM795" s="570"/>
      <c r="AN795" s="570"/>
      <c r="AO795" s="570"/>
      <c r="AP795" s="570"/>
      <c r="AQ795" s="570"/>
      <c r="AR795" s="570"/>
      <c r="AS795" s="570"/>
      <c r="AT795" s="570"/>
      <c r="AU795" s="570"/>
    </row>
    <row r="796" spans="1:47" ht="15.75" customHeight="1">
      <c r="A796" s="335">
        <v>44582</v>
      </c>
      <c r="B796" s="583" t="s">
        <v>6538</v>
      </c>
      <c r="C796" s="405" t="s">
        <v>2929</v>
      </c>
      <c r="D796" s="561" t="s">
        <v>6343</v>
      </c>
      <c r="E796" s="584">
        <v>10000</v>
      </c>
      <c r="F796" s="561" t="s">
        <v>3561</v>
      </c>
      <c r="G796" s="571" t="s">
        <v>19</v>
      </c>
      <c r="H796" s="571" t="s">
        <v>35</v>
      </c>
      <c r="I796" s="571" t="s">
        <v>2979</v>
      </c>
      <c r="J796" s="571">
        <v>44267</v>
      </c>
      <c r="K796" s="571" t="s">
        <v>3803</v>
      </c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70"/>
      <c r="AH796" s="570"/>
      <c r="AI796" s="570"/>
      <c r="AJ796" s="570"/>
      <c r="AK796" s="570"/>
      <c r="AL796" s="570"/>
      <c r="AM796" s="570"/>
      <c r="AN796" s="570"/>
      <c r="AO796" s="570"/>
      <c r="AP796" s="570"/>
      <c r="AQ796" s="570"/>
      <c r="AR796" s="570"/>
      <c r="AS796" s="570"/>
      <c r="AT796" s="570"/>
      <c r="AU796" s="570"/>
    </row>
    <row r="797" spans="1:47" ht="15.75" customHeight="1">
      <c r="A797" s="335">
        <v>44582</v>
      </c>
      <c r="B797" s="530">
        <v>7082227</v>
      </c>
      <c r="C797" s="405" t="s">
        <v>3793</v>
      </c>
      <c r="D797" s="561" t="s">
        <v>6343</v>
      </c>
      <c r="E797" s="584">
        <v>25000</v>
      </c>
      <c r="F797" s="561" t="s">
        <v>4405</v>
      </c>
      <c r="G797" s="571" t="s">
        <v>19</v>
      </c>
      <c r="H797" s="571" t="s">
        <v>66</v>
      </c>
      <c r="I797" s="571" t="s">
        <v>5026</v>
      </c>
      <c r="J797" s="571">
        <v>44511</v>
      </c>
      <c r="K797" s="571" t="s">
        <v>3803</v>
      </c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70"/>
      <c r="AH797" s="570"/>
      <c r="AI797" s="570"/>
      <c r="AJ797" s="570"/>
      <c r="AK797" s="570"/>
      <c r="AL797" s="570"/>
      <c r="AM797" s="570"/>
      <c r="AN797" s="570"/>
      <c r="AO797" s="570"/>
      <c r="AP797" s="570"/>
      <c r="AQ797" s="570"/>
      <c r="AR797" s="570"/>
      <c r="AS797" s="570"/>
      <c r="AT797" s="570"/>
      <c r="AU797" s="570"/>
    </row>
    <row r="798" spans="1:47" ht="15.75" customHeight="1">
      <c r="A798" s="335">
        <v>44582</v>
      </c>
      <c r="B798" s="609" t="s">
        <v>6621</v>
      </c>
      <c r="C798" s="405" t="s">
        <v>3793</v>
      </c>
      <c r="D798" s="561" t="s">
        <v>6343</v>
      </c>
      <c r="E798" s="584">
        <v>10000</v>
      </c>
      <c r="F798" s="561" t="s">
        <v>6660</v>
      </c>
      <c r="G798" s="561" t="s">
        <v>19</v>
      </c>
      <c r="H798" s="561" t="s">
        <v>20</v>
      </c>
      <c r="I798" s="561" t="s">
        <v>3080</v>
      </c>
      <c r="J798" s="571">
        <v>44399</v>
      </c>
      <c r="K798" s="561" t="s">
        <v>6661</v>
      </c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70"/>
      <c r="AH798" s="570"/>
      <c r="AI798" s="570"/>
      <c r="AJ798" s="570"/>
      <c r="AK798" s="570"/>
      <c r="AL798" s="570"/>
      <c r="AM798" s="570"/>
      <c r="AN798" s="570"/>
      <c r="AO798" s="570"/>
      <c r="AP798" s="570"/>
      <c r="AQ798" s="570"/>
      <c r="AR798" s="570"/>
      <c r="AS798" s="570"/>
      <c r="AT798" s="570"/>
      <c r="AU798" s="570"/>
    </row>
    <row r="799" spans="1:47" ht="15.75" customHeight="1">
      <c r="A799" s="571">
        <v>44586</v>
      </c>
      <c r="B799" s="572" t="s">
        <v>6662</v>
      </c>
      <c r="C799" s="561" t="s">
        <v>3793</v>
      </c>
      <c r="D799" s="561" t="s">
        <v>921</v>
      </c>
      <c r="E799" s="573">
        <v>142585.32</v>
      </c>
      <c r="F799" s="561" t="s">
        <v>4921</v>
      </c>
      <c r="G799" s="561" t="s">
        <v>19</v>
      </c>
      <c r="H799" s="561" t="s">
        <v>66</v>
      </c>
      <c r="I799" s="596" t="s">
        <v>265</v>
      </c>
      <c r="J799" s="618">
        <v>44508</v>
      </c>
      <c r="K799" s="561" t="s">
        <v>3813</v>
      </c>
      <c r="L799" s="619"/>
      <c r="M799" s="619"/>
      <c r="N799" s="619"/>
      <c r="O799" s="619"/>
      <c r="P799" s="619"/>
      <c r="Q799" s="619"/>
      <c r="R799" s="619"/>
      <c r="S799" s="619"/>
      <c r="T799" s="619"/>
      <c r="U799" s="619"/>
      <c r="V799" s="619"/>
      <c r="W799" s="619"/>
      <c r="X799" s="619"/>
      <c r="Y799" s="619"/>
      <c r="Z799" s="619"/>
      <c r="AA799" s="619"/>
      <c r="AB799" s="570"/>
      <c r="AC799" s="570"/>
      <c r="AD799" s="570"/>
      <c r="AE799" s="570"/>
      <c r="AF799" s="570"/>
      <c r="AG799" s="570"/>
      <c r="AH799" s="570"/>
      <c r="AI799" s="570"/>
      <c r="AJ799" s="570"/>
      <c r="AK799" s="570"/>
      <c r="AL799" s="570"/>
      <c r="AM799" s="570"/>
      <c r="AN799" s="570"/>
      <c r="AO799" s="570"/>
      <c r="AP799" s="570"/>
      <c r="AQ799" s="570"/>
      <c r="AR799" s="570"/>
      <c r="AS799" s="570"/>
      <c r="AT799" s="570"/>
      <c r="AU799" s="570"/>
    </row>
    <row r="800" spans="1:47" ht="15.75" customHeight="1">
      <c r="A800" s="571">
        <v>44592</v>
      </c>
      <c r="B800" s="572" t="s">
        <v>6663</v>
      </c>
      <c r="C800" s="561" t="s">
        <v>3793</v>
      </c>
      <c r="D800" s="561" t="s">
        <v>6343</v>
      </c>
      <c r="E800" s="573">
        <v>3500</v>
      </c>
      <c r="F800" s="561" t="s">
        <v>4033</v>
      </c>
      <c r="G800" s="561" t="s">
        <v>19</v>
      </c>
      <c r="H800" s="561" t="s">
        <v>66</v>
      </c>
      <c r="I800" s="596" t="s">
        <v>67</v>
      </c>
      <c r="J800" s="618">
        <v>44523</v>
      </c>
      <c r="K800" s="561" t="s">
        <v>3810</v>
      </c>
      <c r="L800" s="563"/>
      <c r="M800" s="563"/>
      <c r="N800" s="563"/>
      <c r="O800" s="563"/>
      <c r="P800" s="563"/>
      <c r="Q800" s="563"/>
      <c r="R800" s="563"/>
      <c r="S800" s="563"/>
      <c r="T800" s="563"/>
      <c r="U800" s="563"/>
      <c r="V800" s="563"/>
      <c r="W800" s="563"/>
      <c r="X800" s="563"/>
      <c r="Y800" s="563"/>
      <c r="Z800" s="563"/>
      <c r="AA800" s="563"/>
      <c r="AB800" s="570"/>
      <c r="AC800" s="570"/>
      <c r="AD800" s="570"/>
      <c r="AE800" s="570"/>
      <c r="AF800" s="570"/>
      <c r="AG800" s="570"/>
      <c r="AH800" s="570"/>
      <c r="AI800" s="570"/>
      <c r="AJ800" s="570"/>
      <c r="AK800" s="570"/>
      <c r="AL800" s="570"/>
      <c r="AM800" s="570"/>
      <c r="AN800" s="570"/>
      <c r="AO800" s="570"/>
      <c r="AP800" s="570"/>
      <c r="AQ800" s="570"/>
      <c r="AR800" s="570"/>
      <c r="AS800" s="570"/>
      <c r="AT800" s="570"/>
      <c r="AU800" s="570"/>
    </row>
    <row r="801" spans="1:47" ht="15.75" customHeight="1">
      <c r="A801" s="575">
        <v>44592</v>
      </c>
      <c r="B801" s="603" t="s">
        <v>6474</v>
      </c>
      <c r="C801" s="405" t="s">
        <v>2929</v>
      </c>
      <c r="D801" s="561" t="s">
        <v>956</v>
      </c>
      <c r="E801" s="584" t="s">
        <v>6664</v>
      </c>
      <c r="F801" s="561" t="s">
        <v>3001</v>
      </c>
      <c r="G801" s="571" t="s">
        <v>19</v>
      </c>
      <c r="H801" s="571" t="s">
        <v>35</v>
      </c>
      <c r="I801" s="571" t="s">
        <v>250</v>
      </c>
      <c r="J801" s="571">
        <v>44295</v>
      </c>
      <c r="K801" s="571" t="s">
        <v>3797</v>
      </c>
      <c r="L801" s="563"/>
      <c r="M801" s="563"/>
      <c r="N801" s="563"/>
      <c r="O801" s="563"/>
      <c r="P801" s="563"/>
      <c r="Q801" s="563"/>
      <c r="R801" s="563"/>
      <c r="S801" s="563"/>
      <c r="T801" s="563"/>
      <c r="U801" s="563"/>
      <c r="V801" s="563"/>
      <c r="W801" s="563"/>
      <c r="X801" s="563"/>
      <c r="Y801" s="563"/>
      <c r="Z801" s="563"/>
      <c r="AA801" s="563"/>
      <c r="AB801" s="570"/>
      <c r="AC801" s="570"/>
      <c r="AD801" s="570"/>
      <c r="AE801" s="570"/>
      <c r="AF801" s="570"/>
      <c r="AG801" s="570"/>
      <c r="AH801" s="570"/>
      <c r="AI801" s="570"/>
      <c r="AJ801" s="570"/>
      <c r="AK801" s="570"/>
      <c r="AL801" s="570"/>
      <c r="AM801" s="570"/>
      <c r="AN801" s="570"/>
      <c r="AO801" s="570"/>
      <c r="AP801" s="570"/>
      <c r="AQ801" s="570"/>
      <c r="AR801" s="570"/>
      <c r="AS801" s="570"/>
      <c r="AT801" s="570"/>
      <c r="AU801" s="570"/>
    </row>
    <row r="802" spans="1:47" ht="15.75" customHeight="1">
      <c r="A802" s="571">
        <v>44593</v>
      </c>
      <c r="B802" s="572" t="s">
        <v>6444</v>
      </c>
      <c r="C802" s="561" t="s">
        <v>3793</v>
      </c>
      <c r="D802" s="561" t="s">
        <v>6343</v>
      </c>
      <c r="E802" s="573">
        <v>11000</v>
      </c>
      <c r="F802" s="561" t="s">
        <v>5095</v>
      </c>
      <c r="G802" s="561" t="s">
        <v>46</v>
      </c>
      <c r="H802" s="561" t="s">
        <v>20</v>
      </c>
      <c r="I802" s="596" t="s">
        <v>4480</v>
      </c>
      <c r="J802" s="618">
        <v>44180</v>
      </c>
      <c r="K802" s="561" t="s">
        <v>3803</v>
      </c>
      <c r="L802" s="563"/>
      <c r="M802" s="563"/>
      <c r="N802" s="563"/>
      <c r="O802" s="563"/>
      <c r="P802" s="563"/>
      <c r="Q802" s="563"/>
      <c r="R802" s="563"/>
      <c r="S802" s="563"/>
      <c r="T802" s="563"/>
      <c r="U802" s="563"/>
      <c r="V802" s="563"/>
      <c r="W802" s="563"/>
      <c r="X802" s="563"/>
      <c r="Y802" s="563"/>
      <c r="Z802" s="563"/>
      <c r="AA802" s="563"/>
      <c r="AB802" s="570"/>
      <c r="AC802" s="570"/>
      <c r="AD802" s="570"/>
      <c r="AE802" s="570"/>
      <c r="AF802" s="570"/>
      <c r="AG802" s="570"/>
      <c r="AH802" s="570"/>
      <c r="AI802" s="570"/>
      <c r="AJ802" s="570"/>
      <c r="AK802" s="570"/>
      <c r="AL802" s="570"/>
      <c r="AM802" s="570"/>
      <c r="AN802" s="570"/>
      <c r="AO802" s="570"/>
      <c r="AP802" s="570"/>
      <c r="AQ802" s="570"/>
      <c r="AR802" s="570"/>
      <c r="AS802" s="570"/>
      <c r="AT802" s="570"/>
      <c r="AU802" s="570"/>
    </row>
    <row r="803" spans="1:47" ht="15.75" customHeight="1">
      <c r="A803" s="571">
        <v>44601</v>
      </c>
      <c r="B803" s="596" t="s">
        <v>6665</v>
      </c>
      <c r="C803" s="561" t="s">
        <v>3793</v>
      </c>
      <c r="D803" s="561" t="s">
        <v>6343</v>
      </c>
      <c r="E803" s="573">
        <v>25000</v>
      </c>
      <c r="F803" s="561" t="s">
        <v>1741</v>
      </c>
      <c r="G803" s="553" t="s">
        <v>19</v>
      </c>
      <c r="H803" s="553" t="s">
        <v>20</v>
      </c>
      <c r="I803" s="553" t="s">
        <v>6666</v>
      </c>
      <c r="J803" s="594">
        <v>44594</v>
      </c>
      <c r="K803" s="561" t="s">
        <v>3810</v>
      </c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70"/>
      <c r="AH803" s="570"/>
      <c r="AI803" s="570"/>
      <c r="AJ803" s="570"/>
      <c r="AK803" s="570"/>
      <c r="AL803" s="570"/>
      <c r="AM803" s="570"/>
      <c r="AN803" s="570"/>
      <c r="AO803" s="570"/>
      <c r="AP803" s="570"/>
      <c r="AQ803" s="570"/>
      <c r="AR803" s="570"/>
      <c r="AS803" s="570"/>
      <c r="AT803" s="570"/>
      <c r="AU803" s="570"/>
    </row>
    <row r="804" spans="1:47" ht="15.75" customHeight="1">
      <c r="A804" s="571">
        <v>44606</v>
      </c>
      <c r="B804" s="572" t="s">
        <v>6667</v>
      </c>
      <c r="C804" s="561" t="s">
        <v>3793</v>
      </c>
      <c r="D804" s="561" t="s">
        <v>6343</v>
      </c>
      <c r="E804" s="573">
        <v>45000</v>
      </c>
      <c r="F804" s="561" t="s">
        <v>3795</v>
      </c>
      <c r="G804" s="561" t="s">
        <v>19</v>
      </c>
      <c r="H804" s="561" t="s">
        <v>20</v>
      </c>
      <c r="I804" s="596" t="s">
        <v>3647</v>
      </c>
      <c r="J804" s="618">
        <v>44482</v>
      </c>
      <c r="K804" s="561" t="s">
        <v>3797</v>
      </c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70"/>
      <c r="AH804" s="570"/>
      <c r="AI804" s="570"/>
      <c r="AJ804" s="570"/>
      <c r="AK804" s="570"/>
      <c r="AL804" s="570"/>
      <c r="AM804" s="570"/>
      <c r="AN804" s="570"/>
      <c r="AO804" s="570"/>
      <c r="AP804" s="570"/>
      <c r="AQ804" s="570"/>
      <c r="AR804" s="570"/>
      <c r="AS804" s="570"/>
      <c r="AT804" s="570"/>
      <c r="AU804" s="570"/>
    </row>
    <row r="805" spans="1:47" ht="15.75" customHeight="1">
      <c r="A805" s="571">
        <v>44609</v>
      </c>
      <c r="B805" s="572" t="s">
        <v>6444</v>
      </c>
      <c r="C805" s="561" t="s">
        <v>3793</v>
      </c>
      <c r="D805" s="561" t="s">
        <v>6343</v>
      </c>
      <c r="E805" s="573">
        <v>10000</v>
      </c>
      <c r="F805" s="561" t="s">
        <v>5095</v>
      </c>
      <c r="G805" s="561" t="s">
        <v>46</v>
      </c>
      <c r="H805" s="553" t="s">
        <v>20</v>
      </c>
      <c r="I805" s="596" t="s">
        <v>4480</v>
      </c>
      <c r="J805" s="618">
        <v>44180</v>
      </c>
      <c r="K805" s="561" t="s">
        <v>3803</v>
      </c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70"/>
      <c r="AH805" s="570"/>
      <c r="AI805" s="570"/>
      <c r="AJ805" s="570"/>
      <c r="AK805" s="570"/>
      <c r="AL805" s="570"/>
      <c r="AM805" s="570"/>
      <c r="AN805" s="570"/>
      <c r="AO805" s="570"/>
      <c r="AP805" s="570"/>
      <c r="AQ805" s="570"/>
      <c r="AR805" s="570"/>
      <c r="AS805" s="570"/>
      <c r="AT805" s="570"/>
      <c r="AU805" s="570"/>
    </row>
    <row r="806" spans="1:47" ht="15.75" customHeight="1">
      <c r="A806" s="571">
        <v>44622</v>
      </c>
      <c r="B806" s="530">
        <v>858723</v>
      </c>
      <c r="C806" s="530" t="s">
        <v>2929</v>
      </c>
      <c r="D806" s="561" t="s">
        <v>6343</v>
      </c>
      <c r="E806" s="585">
        <v>25000</v>
      </c>
      <c r="F806" s="530" t="s">
        <v>3509</v>
      </c>
      <c r="G806" s="553" t="s">
        <v>19</v>
      </c>
      <c r="H806" s="561" t="s">
        <v>35</v>
      </c>
      <c r="I806" s="561" t="s">
        <v>199</v>
      </c>
      <c r="J806" s="591">
        <v>44585</v>
      </c>
      <c r="K806" s="596" t="s">
        <v>3810</v>
      </c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70"/>
      <c r="AH806" s="570"/>
      <c r="AI806" s="570"/>
      <c r="AJ806" s="570"/>
      <c r="AK806" s="570"/>
      <c r="AL806" s="570"/>
      <c r="AM806" s="570"/>
      <c r="AN806" s="570"/>
      <c r="AO806" s="570"/>
      <c r="AP806" s="570"/>
      <c r="AQ806" s="570"/>
      <c r="AR806" s="570"/>
      <c r="AS806" s="570"/>
      <c r="AT806" s="570"/>
      <c r="AU806" s="570"/>
    </row>
    <row r="807" spans="1:47" ht="15.75" customHeight="1">
      <c r="A807" s="571">
        <v>44622</v>
      </c>
      <c r="B807" s="530">
        <v>328970</v>
      </c>
      <c r="C807" s="530" t="s">
        <v>2929</v>
      </c>
      <c r="D807" s="561" t="s">
        <v>6343</v>
      </c>
      <c r="E807" s="585">
        <v>106000</v>
      </c>
      <c r="F807" s="554" t="s">
        <v>3260</v>
      </c>
      <c r="G807" s="553" t="s">
        <v>19</v>
      </c>
      <c r="H807" s="561" t="s">
        <v>35</v>
      </c>
      <c r="I807" s="561" t="s">
        <v>250</v>
      </c>
      <c r="J807" s="591">
        <v>44277</v>
      </c>
      <c r="K807" s="596" t="s">
        <v>3797</v>
      </c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70"/>
      <c r="AH807" s="570"/>
      <c r="AI807" s="570"/>
      <c r="AJ807" s="570"/>
      <c r="AK807" s="570"/>
      <c r="AL807" s="570"/>
      <c r="AM807" s="570"/>
      <c r="AN807" s="570"/>
      <c r="AO807" s="570"/>
      <c r="AP807" s="570"/>
      <c r="AQ807" s="570"/>
      <c r="AR807" s="570"/>
      <c r="AS807" s="570"/>
      <c r="AT807" s="570"/>
      <c r="AU807" s="570"/>
    </row>
    <row r="808" spans="1:47" ht="15.75" customHeight="1">
      <c r="A808" s="571">
        <v>44622</v>
      </c>
      <c r="B808" s="572" t="s">
        <v>6668</v>
      </c>
      <c r="C808" s="530" t="s">
        <v>2929</v>
      </c>
      <c r="D808" s="561" t="s">
        <v>6343</v>
      </c>
      <c r="E808" s="585">
        <v>100000</v>
      </c>
      <c r="F808" s="561" t="s">
        <v>6669</v>
      </c>
      <c r="G808" s="553" t="s">
        <v>19</v>
      </c>
      <c r="H808" s="561" t="s">
        <v>35</v>
      </c>
      <c r="I808" s="561" t="s">
        <v>250</v>
      </c>
      <c r="J808" s="571">
        <v>44448</v>
      </c>
      <c r="K808" s="561" t="s">
        <v>3797</v>
      </c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70"/>
      <c r="AH808" s="570"/>
      <c r="AI808" s="570"/>
      <c r="AJ808" s="570"/>
      <c r="AK808" s="570"/>
      <c r="AL808" s="570"/>
      <c r="AM808" s="570"/>
      <c r="AN808" s="570"/>
      <c r="AO808" s="570"/>
      <c r="AP808" s="570"/>
      <c r="AQ808" s="570"/>
      <c r="AR808" s="570"/>
      <c r="AS808" s="570"/>
      <c r="AT808" s="570"/>
      <c r="AU808" s="570"/>
    </row>
    <row r="809" spans="1:47" ht="15.75" customHeight="1">
      <c r="A809" s="571">
        <v>44622</v>
      </c>
      <c r="B809" s="530">
        <v>330028</v>
      </c>
      <c r="C809" s="530" t="s">
        <v>2929</v>
      </c>
      <c r="D809" s="561" t="s">
        <v>6343</v>
      </c>
      <c r="E809" s="573">
        <v>500</v>
      </c>
      <c r="F809" s="561" t="s">
        <v>425</v>
      </c>
      <c r="G809" s="553" t="s">
        <v>19</v>
      </c>
      <c r="H809" s="561" t="s">
        <v>35</v>
      </c>
      <c r="I809" s="561" t="s">
        <v>199</v>
      </c>
      <c r="J809" s="571">
        <v>44263</v>
      </c>
      <c r="K809" s="561" t="s">
        <v>3803</v>
      </c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70"/>
      <c r="AH809" s="570"/>
      <c r="AI809" s="570"/>
      <c r="AJ809" s="570"/>
      <c r="AK809" s="570"/>
      <c r="AL809" s="570"/>
      <c r="AM809" s="570"/>
      <c r="AN809" s="570"/>
      <c r="AO809" s="570"/>
      <c r="AP809" s="570"/>
      <c r="AQ809" s="570"/>
      <c r="AR809" s="570"/>
      <c r="AS809" s="570"/>
      <c r="AT809" s="570"/>
      <c r="AU809" s="570"/>
    </row>
    <row r="810" spans="1:47" ht="15.75" customHeight="1">
      <c r="A810" s="571">
        <v>44627</v>
      </c>
      <c r="B810" s="609" t="s">
        <v>6423</v>
      </c>
      <c r="C810" s="561" t="s">
        <v>3793</v>
      </c>
      <c r="D810" s="561" t="s">
        <v>6343</v>
      </c>
      <c r="E810" s="585">
        <v>8000</v>
      </c>
      <c r="F810" s="561" t="s">
        <v>3865</v>
      </c>
      <c r="G810" s="561" t="s">
        <v>2931</v>
      </c>
      <c r="H810" s="561" t="s">
        <v>3154</v>
      </c>
      <c r="I810" s="561" t="s">
        <v>2931</v>
      </c>
      <c r="J810" s="571">
        <v>44180</v>
      </c>
      <c r="K810" s="561" t="s">
        <v>3803</v>
      </c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70"/>
      <c r="AH810" s="570"/>
      <c r="AI810" s="570"/>
      <c r="AJ810" s="570"/>
      <c r="AK810" s="570"/>
      <c r="AL810" s="570"/>
      <c r="AM810" s="570"/>
      <c r="AN810" s="570"/>
      <c r="AO810" s="570"/>
      <c r="AP810" s="570"/>
      <c r="AQ810" s="570"/>
      <c r="AR810" s="570"/>
      <c r="AS810" s="570"/>
      <c r="AT810" s="570"/>
      <c r="AU810" s="570"/>
    </row>
    <row r="811" spans="1:47" ht="15.75" customHeight="1">
      <c r="A811" s="571">
        <v>44627</v>
      </c>
      <c r="B811" s="530">
        <v>4345500</v>
      </c>
      <c r="C811" s="530" t="s">
        <v>2929</v>
      </c>
      <c r="D811" s="561" t="s">
        <v>6343</v>
      </c>
      <c r="E811" s="585">
        <v>7500</v>
      </c>
      <c r="F811" s="561" t="s">
        <v>3198</v>
      </c>
      <c r="G811" s="561" t="s">
        <v>2931</v>
      </c>
      <c r="H811" s="571"/>
      <c r="I811" s="561" t="s">
        <v>2931</v>
      </c>
      <c r="J811" s="571">
        <v>43703</v>
      </c>
      <c r="K811" s="561" t="s">
        <v>4196</v>
      </c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70"/>
      <c r="AH811" s="570"/>
      <c r="AI811" s="570"/>
      <c r="AJ811" s="570"/>
      <c r="AK811" s="570"/>
      <c r="AL811" s="570"/>
      <c r="AM811" s="570"/>
      <c r="AN811" s="570"/>
      <c r="AO811" s="570"/>
      <c r="AP811" s="570"/>
      <c r="AQ811" s="570"/>
      <c r="AR811" s="570"/>
      <c r="AS811" s="570"/>
      <c r="AT811" s="570"/>
      <c r="AU811" s="570"/>
    </row>
    <row r="812" spans="1:47" ht="15.75" customHeight="1">
      <c r="A812" s="595">
        <v>44628</v>
      </c>
      <c r="B812" s="583" t="s">
        <v>6414</v>
      </c>
      <c r="C812" s="530" t="s">
        <v>3793</v>
      </c>
      <c r="D812" s="596" t="s">
        <v>6343</v>
      </c>
      <c r="E812" s="597">
        <v>5000</v>
      </c>
      <c r="F812" s="596" t="s">
        <v>4381</v>
      </c>
      <c r="G812" s="596" t="s">
        <v>46</v>
      </c>
      <c r="H812" s="596" t="s">
        <v>20</v>
      </c>
      <c r="I812" s="596" t="s">
        <v>3870</v>
      </c>
      <c r="J812" s="595">
        <v>44263</v>
      </c>
      <c r="K812" s="530" t="s">
        <v>3803</v>
      </c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70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</row>
    <row r="813" spans="1:47" ht="15.75" customHeight="1">
      <c r="A813" s="571">
        <v>44630</v>
      </c>
      <c r="B813" s="572" t="s">
        <v>6487</v>
      </c>
      <c r="C813" s="530" t="s">
        <v>2929</v>
      </c>
      <c r="D813" s="561" t="s">
        <v>6343</v>
      </c>
      <c r="E813" s="585">
        <v>40000</v>
      </c>
      <c r="F813" s="561" t="s">
        <v>1318</v>
      </c>
      <c r="G813" s="561" t="s">
        <v>19</v>
      </c>
      <c r="H813" s="561" t="s">
        <v>35</v>
      </c>
      <c r="I813" s="561" t="s">
        <v>199</v>
      </c>
      <c r="J813" s="571">
        <v>44319</v>
      </c>
      <c r="K813" s="561" t="s">
        <v>3803</v>
      </c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70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</row>
    <row r="814" spans="1:47" ht="15.75" customHeight="1">
      <c r="A814" s="571">
        <v>44630</v>
      </c>
      <c r="B814" s="572" t="s">
        <v>6670</v>
      </c>
      <c r="C814" s="530" t="s">
        <v>2929</v>
      </c>
      <c r="D814" s="561" t="s">
        <v>6343</v>
      </c>
      <c r="E814" s="585">
        <v>25000</v>
      </c>
      <c r="F814" s="561" t="s">
        <v>3509</v>
      </c>
      <c r="G814" s="561" t="s">
        <v>19</v>
      </c>
      <c r="H814" s="561" t="s">
        <v>35</v>
      </c>
      <c r="I814" s="561" t="s">
        <v>199</v>
      </c>
      <c r="J814" s="571">
        <v>44585</v>
      </c>
      <c r="K814" s="561" t="s">
        <v>3810</v>
      </c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70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</row>
    <row r="815" spans="1:47" ht="15.75" customHeight="1">
      <c r="A815" s="571">
        <v>44630</v>
      </c>
      <c r="B815" s="572" t="s">
        <v>6671</v>
      </c>
      <c r="C815" s="530" t="s">
        <v>2929</v>
      </c>
      <c r="D815" s="561" t="s">
        <v>6343</v>
      </c>
      <c r="E815" s="573">
        <v>16000</v>
      </c>
      <c r="F815" s="561" t="s">
        <v>2417</v>
      </c>
      <c r="G815" s="561" t="s">
        <v>19</v>
      </c>
      <c r="H815" s="561" t="s">
        <v>35</v>
      </c>
      <c r="I815" s="553" t="s">
        <v>250</v>
      </c>
      <c r="J815" s="571">
        <v>44462</v>
      </c>
      <c r="K815" s="561" t="s">
        <v>3817</v>
      </c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70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</row>
    <row r="816" spans="1:47" ht="15.75" customHeight="1">
      <c r="A816" s="571">
        <v>44630</v>
      </c>
      <c r="B816" s="530">
        <v>391760</v>
      </c>
      <c r="C816" s="530" t="s">
        <v>2929</v>
      </c>
      <c r="D816" s="561" t="s">
        <v>956</v>
      </c>
      <c r="E816" s="573">
        <v>31234</v>
      </c>
      <c r="F816" s="530" t="s">
        <v>3460</v>
      </c>
      <c r="G816" s="553" t="s">
        <v>2931</v>
      </c>
      <c r="H816" s="553" t="s">
        <v>20</v>
      </c>
      <c r="I816" s="561" t="s">
        <v>2938</v>
      </c>
      <c r="J816" s="571">
        <v>43865</v>
      </c>
      <c r="K816" s="561" t="s">
        <v>3803</v>
      </c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70"/>
      <c r="AH816" s="570"/>
      <c r="AI816" s="570"/>
      <c r="AJ816" s="570"/>
      <c r="AK816" s="570"/>
      <c r="AL816" s="570"/>
      <c r="AM816" s="570"/>
      <c r="AN816" s="570"/>
      <c r="AO816" s="570"/>
      <c r="AP816" s="570"/>
      <c r="AQ816" s="570"/>
      <c r="AR816" s="570"/>
      <c r="AS816" s="570"/>
      <c r="AT816" s="570"/>
      <c r="AU816" s="570"/>
    </row>
    <row r="817" spans="1:47" ht="15.75" customHeight="1">
      <c r="A817" s="571">
        <v>44630</v>
      </c>
      <c r="B817" s="572" t="s">
        <v>6672</v>
      </c>
      <c r="C817" s="530" t="s">
        <v>2929</v>
      </c>
      <c r="D817" s="561" t="s">
        <v>6343</v>
      </c>
      <c r="E817" s="573">
        <v>10000</v>
      </c>
      <c r="F817" s="561" t="s">
        <v>736</v>
      </c>
      <c r="G817" s="561" t="s">
        <v>19</v>
      </c>
      <c r="H817" s="561" t="s">
        <v>35</v>
      </c>
      <c r="I817" s="561" t="s">
        <v>199</v>
      </c>
      <c r="J817" s="571">
        <v>44607</v>
      </c>
      <c r="K817" s="561" t="s">
        <v>3810</v>
      </c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70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</row>
    <row r="818" spans="1:47" ht="15.75" customHeight="1">
      <c r="A818" s="571">
        <v>44630</v>
      </c>
      <c r="B818" s="572" t="s">
        <v>6658</v>
      </c>
      <c r="C818" s="530" t="s">
        <v>2929</v>
      </c>
      <c r="D818" s="561" t="s">
        <v>6343</v>
      </c>
      <c r="E818" s="573">
        <v>20000</v>
      </c>
      <c r="F818" s="561" t="s">
        <v>6673</v>
      </c>
      <c r="G818" s="561" t="s">
        <v>2931</v>
      </c>
      <c r="H818" s="561" t="s">
        <v>20</v>
      </c>
      <c r="I818" s="561" t="s">
        <v>2932</v>
      </c>
      <c r="J818" s="571">
        <v>43811</v>
      </c>
      <c r="K818" s="561" t="s">
        <v>3813</v>
      </c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70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</row>
    <row r="819" spans="1:47" ht="15.75" customHeight="1">
      <c r="A819" s="571">
        <v>44634</v>
      </c>
      <c r="B819" s="586" t="s">
        <v>6674</v>
      </c>
      <c r="C819" s="561" t="s">
        <v>3793</v>
      </c>
      <c r="D819" s="561" t="s">
        <v>6343</v>
      </c>
      <c r="E819" s="573">
        <v>73500</v>
      </c>
      <c r="F819" s="561" t="s">
        <v>3847</v>
      </c>
      <c r="G819" s="553" t="s">
        <v>19</v>
      </c>
      <c r="H819" s="561" t="s">
        <v>66</v>
      </c>
      <c r="I819" s="561" t="s">
        <v>144</v>
      </c>
      <c r="J819" s="571">
        <v>44609</v>
      </c>
      <c r="K819" s="596" t="s">
        <v>3813</v>
      </c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70"/>
      <c r="AH819" s="570"/>
      <c r="AI819" s="570"/>
      <c r="AJ819" s="570"/>
      <c r="AK819" s="570"/>
      <c r="AL819" s="570"/>
      <c r="AM819" s="570"/>
      <c r="AN819" s="570"/>
      <c r="AO819" s="570"/>
      <c r="AP819" s="570"/>
      <c r="AQ819" s="570"/>
      <c r="AR819" s="570"/>
      <c r="AS819" s="570"/>
      <c r="AT819" s="570"/>
      <c r="AU819" s="570"/>
    </row>
    <row r="820" spans="1:47" ht="15.75" customHeight="1">
      <c r="A820" s="571">
        <v>44634</v>
      </c>
      <c r="B820" s="572" t="s">
        <v>6675</v>
      </c>
      <c r="C820" s="530" t="s">
        <v>2929</v>
      </c>
      <c r="D820" s="561" t="s">
        <v>956</v>
      </c>
      <c r="E820" s="573">
        <v>229216</v>
      </c>
      <c r="F820" s="561" t="s">
        <v>2965</v>
      </c>
      <c r="G820" s="561" t="s">
        <v>2931</v>
      </c>
      <c r="H820" s="561" t="s">
        <v>20</v>
      </c>
      <c r="I820" s="561" t="s">
        <v>2938</v>
      </c>
      <c r="J820" s="571">
        <v>44186</v>
      </c>
      <c r="K820" s="561" t="s">
        <v>3803</v>
      </c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70"/>
      <c r="AH820" s="570"/>
      <c r="AI820" s="570"/>
      <c r="AJ820" s="570"/>
      <c r="AK820" s="570"/>
      <c r="AL820" s="570"/>
      <c r="AM820" s="570"/>
      <c r="AN820" s="570"/>
      <c r="AO820" s="570"/>
      <c r="AP820" s="570"/>
      <c r="AQ820" s="570"/>
      <c r="AR820" s="570"/>
      <c r="AS820" s="570"/>
      <c r="AT820" s="570"/>
      <c r="AU820" s="570"/>
    </row>
    <row r="821" spans="1:47" ht="15.75" customHeight="1">
      <c r="A821" s="571">
        <v>44634</v>
      </c>
      <c r="B821" s="572" t="s">
        <v>6676</v>
      </c>
      <c r="C821" s="530" t="s">
        <v>2929</v>
      </c>
      <c r="D821" s="561" t="s">
        <v>921</v>
      </c>
      <c r="E821" s="573">
        <v>184170</v>
      </c>
      <c r="F821" s="561" t="s">
        <v>3415</v>
      </c>
      <c r="G821" s="561" t="s">
        <v>19</v>
      </c>
      <c r="H821" s="561" t="s">
        <v>35</v>
      </c>
      <c r="I821" s="561" t="s">
        <v>199</v>
      </c>
      <c r="J821" s="571">
        <v>44280</v>
      </c>
      <c r="K821" s="561" t="s">
        <v>3797</v>
      </c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70"/>
      <c r="AH821" s="570"/>
      <c r="AI821" s="570"/>
      <c r="AJ821" s="570"/>
      <c r="AK821" s="570"/>
      <c r="AL821" s="570"/>
      <c r="AM821" s="570"/>
      <c r="AN821" s="570"/>
      <c r="AO821" s="570"/>
      <c r="AP821" s="570"/>
      <c r="AQ821" s="570"/>
      <c r="AR821" s="570"/>
      <c r="AS821" s="570"/>
      <c r="AT821" s="570"/>
      <c r="AU821" s="570"/>
    </row>
    <row r="822" spans="1:47" ht="15.75" customHeight="1">
      <c r="A822" s="571">
        <v>44634</v>
      </c>
      <c r="B822" s="620">
        <v>4663340</v>
      </c>
      <c r="C822" s="530" t="s">
        <v>2929</v>
      </c>
      <c r="D822" s="561" t="s">
        <v>921</v>
      </c>
      <c r="E822" s="573">
        <v>237755</v>
      </c>
      <c r="F822" s="621" t="s">
        <v>3413</v>
      </c>
      <c r="G822" s="561" t="s">
        <v>19</v>
      </c>
      <c r="H822" s="561" t="s">
        <v>35</v>
      </c>
      <c r="I822" s="561" t="s">
        <v>199</v>
      </c>
      <c r="J822" s="571">
        <v>44280</v>
      </c>
      <c r="K822" s="561" t="s">
        <v>3817</v>
      </c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70"/>
      <c r="AH822" s="570"/>
      <c r="AI822" s="570"/>
      <c r="AJ822" s="570"/>
      <c r="AK822" s="570"/>
      <c r="AL822" s="570"/>
      <c r="AM822" s="570"/>
      <c r="AN822" s="570"/>
      <c r="AO822" s="570"/>
      <c r="AP822" s="570"/>
      <c r="AQ822" s="570"/>
      <c r="AR822" s="570"/>
      <c r="AS822" s="570"/>
      <c r="AT822" s="570"/>
      <c r="AU822" s="570"/>
    </row>
    <row r="823" spans="1:47" ht="15.75" customHeight="1">
      <c r="A823" s="571">
        <v>44634</v>
      </c>
      <c r="B823" s="572" t="s">
        <v>6636</v>
      </c>
      <c r="C823" s="530" t="s">
        <v>2929</v>
      </c>
      <c r="D823" s="561" t="s">
        <v>6343</v>
      </c>
      <c r="E823" s="573">
        <v>63000</v>
      </c>
      <c r="F823" s="621" t="s">
        <v>3266</v>
      </c>
      <c r="G823" s="561" t="s">
        <v>19</v>
      </c>
      <c r="H823" s="561" t="s">
        <v>35</v>
      </c>
      <c r="I823" s="561" t="s">
        <v>199</v>
      </c>
      <c r="J823" s="571">
        <v>44263</v>
      </c>
      <c r="K823" s="561" t="s">
        <v>3803</v>
      </c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70"/>
      <c r="AH823" s="570"/>
      <c r="AI823" s="570"/>
      <c r="AJ823" s="570"/>
      <c r="AK823" s="570"/>
      <c r="AL823" s="570"/>
      <c r="AM823" s="570"/>
      <c r="AN823" s="570"/>
      <c r="AO823" s="570"/>
      <c r="AP823" s="570"/>
      <c r="AQ823" s="570"/>
      <c r="AR823" s="570"/>
      <c r="AS823" s="570"/>
      <c r="AT823" s="570"/>
      <c r="AU823" s="570"/>
    </row>
    <row r="824" spans="1:47" ht="15.75" customHeight="1">
      <c r="A824" s="571">
        <v>44634</v>
      </c>
      <c r="B824" s="572" t="s">
        <v>6475</v>
      </c>
      <c r="C824" s="530" t="s">
        <v>2929</v>
      </c>
      <c r="D824" s="561" t="s">
        <v>6343</v>
      </c>
      <c r="E824" s="573">
        <v>3000</v>
      </c>
      <c r="F824" s="561" t="s">
        <v>3339</v>
      </c>
      <c r="G824" s="561" t="s">
        <v>19</v>
      </c>
      <c r="H824" s="561" t="s">
        <v>35</v>
      </c>
      <c r="I824" s="561" t="s">
        <v>199</v>
      </c>
      <c r="J824" s="571">
        <v>44322</v>
      </c>
      <c r="K824" s="561" t="s">
        <v>3803</v>
      </c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70"/>
      <c r="AH824" s="570"/>
      <c r="AI824" s="570"/>
      <c r="AJ824" s="570"/>
      <c r="AK824" s="570"/>
      <c r="AL824" s="570"/>
      <c r="AM824" s="570"/>
      <c r="AN824" s="570"/>
      <c r="AO824" s="570"/>
      <c r="AP824" s="570"/>
      <c r="AQ824" s="570"/>
      <c r="AR824" s="570"/>
      <c r="AS824" s="570"/>
      <c r="AT824" s="570"/>
      <c r="AU824" s="570"/>
    </row>
    <row r="825" spans="1:47" ht="15.75" customHeight="1">
      <c r="A825" s="571">
        <v>44634</v>
      </c>
      <c r="B825" s="572" t="s">
        <v>6668</v>
      </c>
      <c r="C825" s="530" t="s">
        <v>2929</v>
      </c>
      <c r="D825" s="561" t="s">
        <v>921</v>
      </c>
      <c r="E825" s="573">
        <v>285598</v>
      </c>
      <c r="F825" s="530" t="s">
        <v>3367</v>
      </c>
      <c r="G825" s="561" t="s">
        <v>19</v>
      </c>
      <c r="H825" s="561" t="s">
        <v>35</v>
      </c>
      <c r="I825" s="561" t="s">
        <v>199</v>
      </c>
      <c r="J825" s="571">
        <v>44448</v>
      </c>
      <c r="K825" s="561" t="s">
        <v>3797</v>
      </c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70"/>
      <c r="AH825" s="570"/>
      <c r="AI825" s="570"/>
      <c r="AJ825" s="570"/>
      <c r="AK825" s="570"/>
      <c r="AL825" s="570"/>
      <c r="AM825" s="570"/>
      <c r="AN825" s="570"/>
      <c r="AO825" s="570"/>
      <c r="AP825" s="570"/>
      <c r="AQ825" s="570"/>
      <c r="AR825" s="570"/>
      <c r="AS825" s="570"/>
      <c r="AT825" s="570"/>
      <c r="AU825" s="570"/>
    </row>
    <row r="826" spans="1:47" ht="15.75" customHeight="1">
      <c r="A826" s="571">
        <v>44634</v>
      </c>
      <c r="B826" s="572" t="s">
        <v>6658</v>
      </c>
      <c r="C826" s="530" t="s">
        <v>2929</v>
      </c>
      <c r="D826" s="561" t="s">
        <v>6343</v>
      </c>
      <c r="E826" s="573">
        <v>15000</v>
      </c>
      <c r="F826" s="561" t="s">
        <v>6673</v>
      </c>
      <c r="G826" s="561" t="s">
        <v>2931</v>
      </c>
      <c r="H826" s="561" t="s">
        <v>20</v>
      </c>
      <c r="I826" s="561" t="s">
        <v>2932</v>
      </c>
      <c r="J826" s="571">
        <v>43811</v>
      </c>
      <c r="K826" s="561" t="s">
        <v>3813</v>
      </c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70"/>
      <c r="AH826" s="570"/>
      <c r="AI826" s="570"/>
      <c r="AJ826" s="570"/>
      <c r="AK826" s="570"/>
      <c r="AL826" s="570"/>
      <c r="AM826" s="570"/>
      <c r="AN826" s="570"/>
      <c r="AO826" s="570"/>
      <c r="AP826" s="570"/>
      <c r="AQ826" s="570"/>
      <c r="AR826" s="570"/>
      <c r="AS826" s="570"/>
      <c r="AT826" s="570"/>
      <c r="AU826" s="570"/>
    </row>
    <row r="827" spans="1:47" ht="15.75" customHeight="1">
      <c r="A827" s="575">
        <v>44634</v>
      </c>
      <c r="B827" s="603" t="s">
        <v>6677</v>
      </c>
      <c r="C827" s="405" t="s">
        <v>2929</v>
      </c>
      <c r="D827" s="561" t="s">
        <v>956</v>
      </c>
      <c r="E827" s="584"/>
      <c r="F827" s="561" t="s">
        <v>3492</v>
      </c>
      <c r="G827" s="571" t="s">
        <v>19</v>
      </c>
      <c r="H827" s="571" t="s">
        <v>35</v>
      </c>
      <c r="I827" s="571" t="s">
        <v>2979</v>
      </c>
      <c r="J827" s="571">
        <v>44199</v>
      </c>
      <c r="K827" s="571" t="s">
        <v>3813</v>
      </c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70"/>
      <c r="AH827" s="570"/>
      <c r="AI827" s="570"/>
      <c r="AJ827" s="570"/>
      <c r="AK827" s="570"/>
      <c r="AL827" s="570"/>
      <c r="AM827" s="570"/>
      <c r="AN827" s="570"/>
      <c r="AO827" s="570"/>
      <c r="AP827" s="570"/>
      <c r="AQ827" s="570"/>
      <c r="AR827" s="570"/>
      <c r="AS827" s="570"/>
      <c r="AT827" s="570"/>
      <c r="AU827" s="570"/>
    </row>
    <row r="828" spans="1:47" ht="15.75" customHeight="1">
      <c r="A828" s="571">
        <v>44636</v>
      </c>
      <c r="B828" s="572" t="s">
        <v>6477</v>
      </c>
      <c r="C828" s="530" t="s">
        <v>2929</v>
      </c>
      <c r="D828" s="561" t="s">
        <v>6343</v>
      </c>
      <c r="E828" s="573">
        <v>10000</v>
      </c>
      <c r="F828" s="530" t="s">
        <v>3472</v>
      </c>
      <c r="G828" s="561" t="s">
        <v>19</v>
      </c>
      <c r="H828" s="561" t="s">
        <v>35</v>
      </c>
      <c r="I828" s="561" t="s">
        <v>199</v>
      </c>
      <c r="J828" s="571">
        <v>44319</v>
      </c>
      <c r="K828" s="561" t="s">
        <v>3803</v>
      </c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70"/>
      <c r="AH828" s="570"/>
      <c r="AI828" s="570"/>
      <c r="AJ828" s="570"/>
      <c r="AK828" s="570"/>
      <c r="AL828" s="570"/>
      <c r="AM828" s="570"/>
      <c r="AN828" s="570"/>
      <c r="AO828" s="570"/>
      <c r="AP828" s="570"/>
      <c r="AQ828" s="570"/>
      <c r="AR828" s="570"/>
      <c r="AS828" s="570"/>
      <c r="AT828" s="570"/>
      <c r="AU828" s="570"/>
    </row>
    <row r="829" spans="1:47" ht="15.75" customHeight="1">
      <c r="A829" s="571">
        <v>44636</v>
      </c>
      <c r="B829" s="572" t="s">
        <v>6658</v>
      </c>
      <c r="C829" s="530" t="s">
        <v>2929</v>
      </c>
      <c r="D829" s="561" t="s">
        <v>6343</v>
      </c>
      <c r="E829" s="573">
        <v>20000</v>
      </c>
      <c r="F829" s="561" t="s">
        <v>6673</v>
      </c>
      <c r="G829" s="561" t="s">
        <v>2931</v>
      </c>
      <c r="H829" s="561" t="s">
        <v>20</v>
      </c>
      <c r="I829" s="561" t="s">
        <v>2932</v>
      </c>
      <c r="J829" s="571">
        <v>43811</v>
      </c>
      <c r="K829" s="561" t="s">
        <v>3813</v>
      </c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70"/>
      <c r="AH829" s="570"/>
      <c r="AI829" s="570"/>
      <c r="AJ829" s="570"/>
      <c r="AK829" s="570"/>
      <c r="AL829" s="570"/>
      <c r="AM829" s="570"/>
      <c r="AN829" s="570"/>
      <c r="AO829" s="570"/>
      <c r="AP829" s="570"/>
      <c r="AQ829" s="570"/>
      <c r="AR829" s="570"/>
      <c r="AS829" s="570"/>
      <c r="AT829" s="570"/>
      <c r="AU829" s="570"/>
    </row>
    <row r="830" spans="1:47" ht="15.75" customHeight="1">
      <c r="A830" s="571">
        <v>44636</v>
      </c>
      <c r="B830" s="572" t="s">
        <v>6508</v>
      </c>
      <c r="C830" s="530" t="s">
        <v>2929</v>
      </c>
      <c r="D830" s="561" t="s">
        <v>6343</v>
      </c>
      <c r="E830" s="573">
        <v>1000000</v>
      </c>
      <c r="F830" s="561" t="s">
        <v>3365</v>
      </c>
      <c r="G830" s="561" t="s">
        <v>19</v>
      </c>
      <c r="H830" s="561" t="s">
        <v>35</v>
      </c>
      <c r="I830" s="561" t="s">
        <v>199</v>
      </c>
      <c r="J830" s="571">
        <v>44321</v>
      </c>
      <c r="K830" s="561" t="s">
        <v>3810</v>
      </c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70"/>
      <c r="AH830" s="570"/>
      <c r="AI830" s="570"/>
      <c r="AJ830" s="570"/>
      <c r="AK830" s="570"/>
      <c r="AL830" s="570"/>
      <c r="AM830" s="570"/>
      <c r="AN830" s="570"/>
      <c r="AO830" s="570"/>
      <c r="AP830" s="570"/>
      <c r="AQ830" s="570"/>
      <c r="AR830" s="570"/>
      <c r="AS830" s="570"/>
      <c r="AT830" s="570"/>
      <c r="AU830" s="570"/>
    </row>
    <row r="831" spans="1:47" ht="15.75" customHeight="1">
      <c r="A831" s="571">
        <v>44637</v>
      </c>
      <c r="B831" s="586" t="s">
        <v>6678</v>
      </c>
      <c r="C831" s="561" t="s">
        <v>3793</v>
      </c>
      <c r="D831" s="561" t="s">
        <v>6343</v>
      </c>
      <c r="E831" s="573">
        <v>7000</v>
      </c>
      <c r="F831" s="561" t="s">
        <v>4499</v>
      </c>
      <c r="G831" s="553" t="s">
        <v>19</v>
      </c>
      <c r="H831" s="561" t="s">
        <v>66</v>
      </c>
      <c r="I831" s="561" t="s">
        <v>144</v>
      </c>
      <c r="J831" s="571">
        <v>44615</v>
      </c>
      <c r="K831" s="596" t="s">
        <v>3803</v>
      </c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70"/>
      <c r="AH831" s="570"/>
      <c r="AI831" s="570"/>
      <c r="AJ831" s="570"/>
      <c r="AK831" s="570"/>
      <c r="AL831" s="570"/>
      <c r="AM831" s="570"/>
      <c r="AN831" s="570"/>
      <c r="AO831" s="570"/>
      <c r="AP831" s="570"/>
      <c r="AQ831" s="570"/>
      <c r="AR831" s="570"/>
      <c r="AS831" s="570"/>
      <c r="AT831" s="570"/>
      <c r="AU831" s="570"/>
    </row>
    <row r="832" spans="1:47" ht="15.75" customHeight="1">
      <c r="A832" s="571">
        <v>44641</v>
      </c>
      <c r="B832" s="583" t="s">
        <v>6679</v>
      </c>
      <c r="C832" s="561" t="s">
        <v>3793</v>
      </c>
      <c r="D832" s="561" t="s">
        <v>921</v>
      </c>
      <c r="E832" s="573">
        <v>100351.65</v>
      </c>
      <c r="F832" s="561" t="s">
        <v>4177</v>
      </c>
      <c r="G832" s="553" t="s">
        <v>19</v>
      </c>
      <c r="H832" s="553" t="s">
        <v>20</v>
      </c>
      <c r="I832" s="561" t="s">
        <v>6680</v>
      </c>
      <c r="J832" s="594">
        <v>44365</v>
      </c>
      <c r="K832" s="530" t="s">
        <v>3850</v>
      </c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70"/>
      <c r="AH832" s="570"/>
      <c r="AI832" s="570"/>
      <c r="AJ832" s="570"/>
      <c r="AK832" s="570"/>
      <c r="AL832" s="570"/>
      <c r="AM832" s="570"/>
      <c r="AN832" s="570"/>
      <c r="AO832" s="570"/>
      <c r="AP832" s="570"/>
      <c r="AQ832" s="570"/>
      <c r="AR832" s="570"/>
      <c r="AS832" s="570"/>
      <c r="AT832" s="570"/>
      <c r="AU832" s="570"/>
    </row>
    <row r="833" spans="1:47" ht="15.75" customHeight="1">
      <c r="A833" s="571">
        <v>44641</v>
      </c>
      <c r="B833" s="583" t="s">
        <v>6681</v>
      </c>
      <c r="C833" s="561" t="s">
        <v>3793</v>
      </c>
      <c r="D833" s="561" t="s">
        <v>921</v>
      </c>
      <c r="E833" s="573">
        <v>169950.33</v>
      </c>
      <c r="F833" s="530" t="s">
        <v>5156</v>
      </c>
      <c r="G833" s="553" t="s">
        <v>19</v>
      </c>
      <c r="H833" s="553" t="s">
        <v>2054</v>
      </c>
      <c r="I833" s="553" t="s">
        <v>6259</v>
      </c>
      <c r="J833" s="594">
        <v>44298</v>
      </c>
      <c r="K833" s="554" t="s">
        <v>3803</v>
      </c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70"/>
      <c r="AH833" s="570"/>
      <c r="AI833" s="570"/>
      <c r="AJ833" s="570"/>
      <c r="AK833" s="570"/>
      <c r="AL833" s="570"/>
      <c r="AM833" s="570"/>
      <c r="AN833" s="570"/>
      <c r="AO833" s="570"/>
      <c r="AP833" s="570"/>
      <c r="AQ833" s="570"/>
      <c r="AR833" s="570"/>
      <c r="AS833" s="570"/>
      <c r="AT833" s="570"/>
      <c r="AU833" s="570"/>
    </row>
    <row r="834" spans="1:47" ht="15.75" customHeight="1">
      <c r="A834" s="571">
        <v>44641</v>
      </c>
      <c r="B834" s="553">
        <v>226343</v>
      </c>
      <c r="C834" s="561" t="s">
        <v>3793</v>
      </c>
      <c r="D834" s="561" t="s">
        <v>921</v>
      </c>
      <c r="E834" s="573">
        <v>103307.43</v>
      </c>
      <c r="F834" s="561" t="s">
        <v>5395</v>
      </c>
      <c r="G834" s="553" t="s">
        <v>19</v>
      </c>
      <c r="H834" s="561" t="s">
        <v>66</v>
      </c>
      <c r="I834" s="553" t="s">
        <v>4142</v>
      </c>
      <c r="J834" s="571">
        <v>44469</v>
      </c>
      <c r="K834" s="530" t="s">
        <v>3797</v>
      </c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70"/>
      <c r="AH834" s="570"/>
      <c r="AI834" s="570"/>
      <c r="AJ834" s="570"/>
      <c r="AK834" s="570"/>
      <c r="AL834" s="570"/>
      <c r="AM834" s="570"/>
      <c r="AN834" s="570"/>
      <c r="AO834" s="570"/>
      <c r="AP834" s="570"/>
      <c r="AQ834" s="570"/>
      <c r="AR834" s="570"/>
      <c r="AS834" s="570"/>
      <c r="AT834" s="570"/>
      <c r="AU834" s="570"/>
    </row>
    <row r="835" spans="1:47" ht="15.75" customHeight="1">
      <c r="A835" s="571">
        <v>44641</v>
      </c>
      <c r="B835" s="596">
        <v>6986262</v>
      </c>
      <c r="C835" s="561" t="s">
        <v>3793</v>
      </c>
      <c r="D835" s="561" t="s">
        <v>6343</v>
      </c>
      <c r="E835" s="573">
        <v>25000</v>
      </c>
      <c r="F835" s="561" t="s">
        <v>4305</v>
      </c>
      <c r="G835" s="553" t="s">
        <v>19</v>
      </c>
      <c r="H835" s="561" t="s">
        <v>66</v>
      </c>
      <c r="I835" s="561" t="s">
        <v>4142</v>
      </c>
      <c r="J835" s="571">
        <v>44503</v>
      </c>
      <c r="K835" s="530" t="s">
        <v>3850</v>
      </c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70"/>
      <c r="AH835" s="570"/>
      <c r="AI835" s="570"/>
      <c r="AJ835" s="570"/>
      <c r="AK835" s="570"/>
      <c r="AL835" s="570"/>
      <c r="AM835" s="570"/>
      <c r="AN835" s="570"/>
      <c r="AO835" s="570"/>
      <c r="AP835" s="570"/>
      <c r="AQ835" s="570"/>
      <c r="AR835" s="570"/>
      <c r="AS835" s="570"/>
      <c r="AT835" s="570"/>
      <c r="AU835" s="570"/>
    </row>
    <row r="836" spans="1:47" ht="15.75" customHeight="1">
      <c r="A836" s="571">
        <v>44641</v>
      </c>
      <c r="B836" s="586" t="s">
        <v>6682</v>
      </c>
      <c r="C836" s="561" t="s">
        <v>3793</v>
      </c>
      <c r="D836" s="561" t="s">
        <v>921</v>
      </c>
      <c r="E836" s="573">
        <v>175092.43</v>
      </c>
      <c r="F836" s="561" t="s">
        <v>4344</v>
      </c>
      <c r="G836" s="553" t="s">
        <v>46</v>
      </c>
      <c r="H836" s="553" t="s">
        <v>20</v>
      </c>
      <c r="I836" s="553" t="s">
        <v>3640</v>
      </c>
      <c r="J836" s="571">
        <v>44075</v>
      </c>
      <c r="K836" s="596" t="s">
        <v>3803</v>
      </c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70"/>
      <c r="AH836" s="570"/>
      <c r="AI836" s="570"/>
      <c r="AJ836" s="570"/>
      <c r="AK836" s="570"/>
      <c r="AL836" s="570"/>
      <c r="AM836" s="570"/>
      <c r="AN836" s="570"/>
      <c r="AO836" s="570"/>
      <c r="AP836" s="570"/>
      <c r="AQ836" s="570"/>
      <c r="AR836" s="570"/>
      <c r="AS836" s="570"/>
      <c r="AT836" s="570"/>
      <c r="AU836" s="570"/>
    </row>
    <row r="837" spans="1:47" ht="15.75" customHeight="1">
      <c r="A837" s="571">
        <v>44643</v>
      </c>
      <c r="B837" s="586" t="s">
        <v>6683</v>
      </c>
      <c r="C837" s="561" t="s">
        <v>3793</v>
      </c>
      <c r="D837" s="561" t="s">
        <v>921</v>
      </c>
      <c r="E837" s="573">
        <v>101496.62</v>
      </c>
      <c r="F837" s="561" t="s">
        <v>5365</v>
      </c>
      <c r="G837" s="553" t="s">
        <v>46</v>
      </c>
      <c r="H837" s="561" t="s">
        <v>2054</v>
      </c>
      <c r="I837" s="561" t="s">
        <v>6259</v>
      </c>
      <c r="J837" s="571">
        <v>44256</v>
      </c>
      <c r="K837" s="596" t="s">
        <v>3797</v>
      </c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70"/>
      <c r="AH837" s="570"/>
      <c r="AI837" s="570"/>
      <c r="AJ837" s="570"/>
      <c r="AK837" s="570"/>
      <c r="AL837" s="570"/>
      <c r="AM837" s="570"/>
      <c r="AN837" s="570"/>
      <c r="AO837" s="570"/>
      <c r="AP837" s="570"/>
      <c r="AQ837" s="570"/>
      <c r="AR837" s="570"/>
      <c r="AS837" s="570"/>
      <c r="AT837" s="570"/>
      <c r="AU837" s="570"/>
    </row>
    <row r="838" spans="1:47" ht="15.75" customHeight="1">
      <c r="A838" s="571">
        <v>44644</v>
      </c>
      <c r="B838" s="572" t="s">
        <v>6649</v>
      </c>
      <c r="C838" s="530" t="s">
        <v>2929</v>
      </c>
      <c r="D838" s="561" t="s">
        <v>6343</v>
      </c>
      <c r="E838" s="573">
        <v>10000</v>
      </c>
      <c r="F838" s="561" t="s">
        <v>3153</v>
      </c>
      <c r="G838" s="561" t="s">
        <v>19</v>
      </c>
      <c r="H838" s="561" t="s">
        <v>35</v>
      </c>
      <c r="I838" s="561" t="s">
        <v>199</v>
      </c>
      <c r="J838" s="571">
        <v>44280</v>
      </c>
      <c r="K838" s="561" t="s">
        <v>3797</v>
      </c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70"/>
      <c r="AH838" s="570"/>
      <c r="AI838" s="570"/>
      <c r="AJ838" s="570"/>
      <c r="AK838" s="570"/>
      <c r="AL838" s="570"/>
      <c r="AM838" s="570"/>
      <c r="AN838" s="570"/>
      <c r="AO838" s="570"/>
      <c r="AP838" s="570"/>
      <c r="AQ838" s="570"/>
      <c r="AR838" s="570"/>
      <c r="AS838" s="570"/>
      <c r="AT838" s="570"/>
      <c r="AU838" s="570"/>
    </row>
    <row r="839" spans="1:47" ht="15.75" customHeight="1">
      <c r="A839" s="571">
        <v>44644</v>
      </c>
      <c r="B839" s="572" t="s">
        <v>6677</v>
      </c>
      <c r="C839" s="530" t="s">
        <v>2929</v>
      </c>
      <c r="D839" s="561" t="s">
        <v>921</v>
      </c>
      <c r="E839" s="573">
        <v>117357</v>
      </c>
      <c r="F839" s="561" t="s">
        <v>3492</v>
      </c>
      <c r="G839" s="561" t="s">
        <v>19</v>
      </c>
      <c r="H839" s="561" t="s">
        <v>35</v>
      </c>
      <c r="I839" s="561" t="s">
        <v>2979</v>
      </c>
      <c r="J839" s="571">
        <v>44330</v>
      </c>
      <c r="K839" s="561" t="s">
        <v>3813</v>
      </c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70"/>
      <c r="AH839" s="570"/>
      <c r="AI839" s="570"/>
      <c r="AJ839" s="570"/>
      <c r="AK839" s="570"/>
      <c r="AL839" s="570"/>
      <c r="AM839" s="570"/>
      <c r="AN839" s="570"/>
      <c r="AO839" s="570"/>
      <c r="AP839" s="570"/>
      <c r="AQ839" s="570"/>
      <c r="AR839" s="570"/>
      <c r="AS839" s="570"/>
      <c r="AT839" s="570"/>
      <c r="AU839" s="570"/>
    </row>
    <row r="840" spans="1:47" ht="15.75" customHeight="1">
      <c r="A840" s="571">
        <v>44644</v>
      </c>
      <c r="B840" s="572" t="s">
        <v>6684</v>
      </c>
      <c r="C840" s="530" t="s">
        <v>2929</v>
      </c>
      <c r="D840" s="561" t="s">
        <v>6343</v>
      </c>
      <c r="E840" s="573">
        <v>19000</v>
      </c>
      <c r="F840" s="561" t="s">
        <v>3250</v>
      </c>
      <c r="G840" s="561" t="s">
        <v>19</v>
      </c>
      <c r="H840" s="561" t="s">
        <v>35</v>
      </c>
      <c r="I840" s="561" t="s">
        <v>2979</v>
      </c>
      <c r="J840" s="571">
        <v>44263</v>
      </c>
      <c r="K840" s="561" t="s">
        <v>3803</v>
      </c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70"/>
      <c r="AH840" s="570"/>
      <c r="AI840" s="570"/>
      <c r="AJ840" s="570"/>
      <c r="AK840" s="570"/>
      <c r="AL840" s="570"/>
      <c r="AM840" s="570"/>
      <c r="AN840" s="570"/>
      <c r="AO840" s="570"/>
      <c r="AP840" s="570"/>
      <c r="AQ840" s="570"/>
      <c r="AR840" s="570"/>
      <c r="AS840" s="570"/>
      <c r="AT840" s="570"/>
      <c r="AU840" s="570"/>
    </row>
    <row r="841" spans="1:47" ht="15.75" customHeight="1">
      <c r="A841" s="571">
        <v>44644</v>
      </c>
      <c r="B841" s="572" t="s">
        <v>6685</v>
      </c>
      <c r="C841" s="530" t="s">
        <v>2929</v>
      </c>
      <c r="D841" s="561" t="s">
        <v>6343</v>
      </c>
      <c r="E841" s="573">
        <v>14000</v>
      </c>
      <c r="F841" s="561" t="s">
        <v>6686</v>
      </c>
      <c r="G841" s="561" t="s">
        <v>2931</v>
      </c>
      <c r="H841" s="561" t="s">
        <v>20</v>
      </c>
      <c r="I841" s="561" t="s">
        <v>2932</v>
      </c>
      <c r="J841" s="571">
        <v>43605</v>
      </c>
      <c r="K841" s="561" t="s">
        <v>3817</v>
      </c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70"/>
      <c r="AH841" s="570"/>
      <c r="AI841" s="570"/>
      <c r="AJ841" s="570"/>
      <c r="AK841" s="570"/>
      <c r="AL841" s="570"/>
      <c r="AM841" s="570"/>
      <c r="AN841" s="570"/>
      <c r="AO841" s="570"/>
      <c r="AP841" s="570"/>
      <c r="AQ841" s="570"/>
      <c r="AR841" s="570"/>
      <c r="AS841" s="570"/>
      <c r="AT841" s="570"/>
      <c r="AU841" s="570"/>
    </row>
    <row r="842" spans="1:47" ht="15.75" customHeight="1">
      <c r="A842" s="571">
        <v>44644</v>
      </c>
      <c r="B842" s="572" t="s">
        <v>6581</v>
      </c>
      <c r="C842" s="530" t="s">
        <v>2929</v>
      </c>
      <c r="D842" s="561" t="s">
        <v>6343</v>
      </c>
      <c r="E842" s="573">
        <v>5000</v>
      </c>
      <c r="F842" s="561" t="s">
        <v>468</v>
      </c>
      <c r="G842" s="561" t="s">
        <v>19</v>
      </c>
      <c r="H842" s="561" t="s">
        <v>35</v>
      </c>
      <c r="I842" s="561" t="s">
        <v>199</v>
      </c>
      <c r="J842" s="571">
        <v>44421</v>
      </c>
      <c r="K842" s="561" t="s">
        <v>3803</v>
      </c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70"/>
      <c r="AH842" s="570"/>
      <c r="AI842" s="570"/>
      <c r="AJ842" s="570"/>
      <c r="AK842" s="570"/>
      <c r="AL842" s="570"/>
      <c r="AM842" s="570"/>
      <c r="AN842" s="570"/>
      <c r="AO842" s="570"/>
      <c r="AP842" s="570"/>
      <c r="AQ842" s="570"/>
      <c r="AR842" s="570"/>
      <c r="AS842" s="570"/>
      <c r="AT842" s="570"/>
      <c r="AU842" s="570"/>
    </row>
    <row r="843" spans="1:47" ht="15.75" customHeight="1">
      <c r="A843" s="571">
        <v>44644</v>
      </c>
      <c r="B843" s="572" t="s">
        <v>6670</v>
      </c>
      <c r="C843" s="530" t="s">
        <v>2929</v>
      </c>
      <c r="D843" s="561" t="s">
        <v>6343</v>
      </c>
      <c r="E843" s="573">
        <v>25000</v>
      </c>
      <c r="F843" s="561" t="s">
        <v>3509</v>
      </c>
      <c r="G843" s="561" t="s">
        <v>19</v>
      </c>
      <c r="H843" s="561" t="s">
        <v>35</v>
      </c>
      <c r="I843" s="561" t="s">
        <v>199</v>
      </c>
      <c r="J843" s="571">
        <v>44585</v>
      </c>
      <c r="K843" s="561" t="s">
        <v>3810</v>
      </c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70"/>
      <c r="AH843" s="570"/>
      <c r="AI843" s="570"/>
      <c r="AJ843" s="570"/>
      <c r="AK843" s="570"/>
      <c r="AL843" s="570"/>
      <c r="AM843" s="570"/>
      <c r="AN843" s="570"/>
      <c r="AO843" s="570"/>
      <c r="AP843" s="570"/>
      <c r="AQ843" s="570"/>
      <c r="AR843" s="570"/>
      <c r="AS843" s="570"/>
      <c r="AT843" s="570"/>
      <c r="AU843" s="570"/>
    </row>
    <row r="844" spans="1:47" ht="15.75" customHeight="1">
      <c r="A844" s="571">
        <v>44644</v>
      </c>
      <c r="B844" s="572" t="s">
        <v>6687</v>
      </c>
      <c r="C844" s="530" t="s">
        <v>2929</v>
      </c>
      <c r="D844" s="561" t="s">
        <v>6343</v>
      </c>
      <c r="E844" s="573">
        <v>300000</v>
      </c>
      <c r="F844" s="561" t="s">
        <v>1528</v>
      </c>
      <c r="G844" s="561" t="s">
        <v>19</v>
      </c>
      <c r="H844" s="561" t="s">
        <v>35</v>
      </c>
      <c r="I844" s="561" t="s">
        <v>199</v>
      </c>
      <c r="J844" s="571"/>
      <c r="K844" s="561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70"/>
      <c r="AH844" s="570"/>
      <c r="AI844" s="570"/>
      <c r="AJ844" s="570"/>
      <c r="AK844" s="570"/>
      <c r="AL844" s="570"/>
      <c r="AM844" s="570"/>
      <c r="AN844" s="570"/>
      <c r="AO844" s="570"/>
      <c r="AP844" s="570"/>
      <c r="AQ844" s="570"/>
      <c r="AR844" s="570"/>
      <c r="AS844" s="570"/>
      <c r="AT844" s="570"/>
      <c r="AU844" s="570"/>
    </row>
    <row r="845" spans="1:47" ht="15.75" customHeight="1">
      <c r="A845" s="571">
        <v>44648</v>
      </c>
      <c r="B845" s="586" t="s">
        <v>6665</v>
      </c>
      <c r="C845" s="561" t="s">
        <v>3793</v>
      </c>
      <c r="D845" s="561" t="s">
        <v>6343</v>
      </c>
      <c r="E845" s="573">
        <v>15000</v>
      </c>
      <c r="F845" s="561" t="s">
        <v>1741</v>
      </c>
      <c r="G845" s="553" t="s">
        <v>19</v>
      </c>
      <c r="H845" s="553" t="s">
        <v>20</v>
      </c>
      <c r="I845" s="553" t="s">
        <v>6666</v>
      </c>
      <c r="J845" s="571">
        <v>44594</v>
      </c>
      <c r="K845" s="596" t="s">
        <v>3810</v>
      </c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70"/>
      <c r="AH845" s="570"/>
      <c r="AI845" s="570"/>
      <c r="AJ845" s="570"/>
      <c r="AK845" s="570"/>
      <c r="AL845" s="570"/>
      <c r="AM845" s="570"/>
      <c r="AN845" s="570"/>
      <c r="AO845" s="570"/>
      <c r="AP845" s="570"/>
      <c r="AQ845" s="570"/>
      <c r="AR845" s="570"/>
      <c r="AS845" s="570"/>
      <c r="AT845" s="570"/>
      <c r="AU845" s="570"/>
    </row>
    <row r="846" spans="1:47" ht="15.75" customHeight="1">
      <c r="A846" s="571">
        <v>44648</v>
      </c>
      <c r="B846" s="605" t="s">
        <v>6490</v>
      </c>
      <c r="C846" s="561" t="s">
        <v>3793</v>
      </c>
      <c r="D846" s="561" t="s">
        <v>921</v>
      </c>
      <c r="E846" s="573">
        <v>2232</v>
      </c>
      <c r="F846" s="554" t="s">
        <v>1177</v>
      </c>
      <c r="G846" s="553" t="s">
        <v>46</v>
      </c>
      <c r="H846" s="553" t="s">
        <v>20</v>
      </c>
      <c r="I846" s="553" t="s">
        <v>4112</v>
      </c>
      <c r="J846" s="591">
        <v>44145</v>
      </c>
      <c r="K846" s="596" t="s">
        <v>3797</v>
      </c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70"/>
      <c r="AH846" s="570"/>
      <c r="AI846" s="570"/>
      <c r="AJ846" s="570"/>
      <c r="AK846" s="570"/>
      <c r="AL846" s="570"/>
      <c r="AM846" s="570"/>
      <c r="AN846" s="570"/>
      <c r="AO846" s="570"/>
      <c r="AP846" s="570"/>
      <c r="AQ846" s="570"/>
      <c r="AR846" s="570"/>
      <c r="AS846" s="570"/>
      <c r="AT846" s="570"/>
      <c r="AU846" s="570"/>
    </row>
    <row r="847" spans="1:47" ht="15.75" customHeight="1">
      <c r="A847" s="571">
        <v>44650</v>
      </c>
      <c r="B847" s="605" t="s">
        <v>6688</v>
      </c>
      <c r="C847" s="561" t="s">
        <v>3793</v>
      </c>
      <c r="D847" s="561" t="s">
        <v>956</v>
      </c>
      <c r="E847" s="573">
        <v>129000</v>
      </c>
      <c r="F847" s="554" t="s">
        <v>4940</v>
      </c>
      <c r="G847" s="553" t="s">
        <v>46</v>
      </c>
      <c r="H847" s="561" t="s">
        <v>2054</v>
      </c>
      <c r="I847" s="553" t="s">
        <v>6253</v>
      </c>
      <c r="J847" s="591">
        <v>44216</v>
      </c>
      <c r="K847" s="596" t="s">
        <v>3797</v>
      </c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70"/>
      <c r="AH847" s="570"/>
      <c r="AI847" s="570"/>
      <c r="AJ847" s="570"/>
      <c r="AK847" s="570"/>
      <c r="AL847" s="570"/>
      <c r="AM847" s="570"/>
      <c r="AN847" s="570"/>
      <c r="AO847" s="570"/>
      <c r="AP847" s="570"/>
      <c r="AQ847" s="570"/>
      <c r="AR847" s="570"/>
      <c r="AS847" s="570"/>
      <c r="AT847" s="570"/>
      <c r="AU847" s="570"/>
    </row>
    <row r="848" spans="1:47" ht="15.75" customHeight="1">
      <c r="A848" s="571">
        <v>44650</v>
      </c>
      <c r="B848" s="605" t="s">
        <v>6689</v>
      </c>
      <c r="C848" s="561" t="s">
        <v>3793</v>
      </c>
      <c r="D848" s="561" t="s">
        <v>956</v>
      </c>
      <c r="E848" s="573">
        <v>630477</v>
      </c>
      <c r="F848" s="554" t="s">
        <v>4940</v>
      </c>
      <c r="G848" s="553" t="s">
        <v>46</v>
      </c>
      <c r="H848" s="561" t="s">
        <v>2054</v>
      </c>
      <c r="I848" s="553" t="s">
        <v>6253</v>
      </c>
      <c r="J848" s="591">
        <v>44207</v>
      </c>
      <c r="K848" s="596" t="s">
        <v>3850</v>
      </c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70"/>
      <c r="AH848" s="570"/>
      <c r="AI848" s="570"/>
      <c r="AJ848" s="570"/>
      <c r="AK848" s="570"/>
      <c r="AL848" s="570"/>
      <c r="AM848" s="570"/>
      <c r="AN848" s="570"/>
      <c r="AO848" s="570"/>
      <c r="AP848" s="570"/>
      <c r="AQ848" s="570"/>
      <c r="AR848" s="570"/>
      <c r="AS848" s="570"/>
      <c r="AT848" s="570"/>
      <c r="AU848" s="570"/>
    </row>
    <row r="849" spans="1:47" ht="15.75" customHeight="1">
      <c r="A849" s="571">
        <v>44650</v>
      </c>
      <c r="B849" s="605" t="s">
        <v>6690</v>
      </c>
      <c r="C849" s="561" t="s">
        <v>3793</v>
      </c>
      <c r="D849" s="561" t="s">
        <v>956</v>
      </c>
      <c r="E849" s="573">
        <v>152856.49</v>
      </c>
      <c r="F849" s="530" t="s">
        <v>4100</v>
      </c>
      <c r="G849" s="553" t="s">
        <v>46</v>
      </c>
      <c r="H849" s="561" t="s">
        <v>2054</v>
      </c>
      <c r="I849" s="553" t="s">
        <v>6253</v>
      </c>
      <c r="J849" s="591">
        <v>44385</v>
      </c>
      <c r="K849" s="596" t="s">
        <v>3797</v>
      </c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70"/>
      <c r="AH849" s="570"/>
      <c r="AI849" s="570"/>
      <c r="AJ849" s="570"/>
      <c r="AK849" s="570"/>
      <c r="AL849" s="570"/>
      <c r="AM849" s="570"/>
      <c r="AN849" s="570"/>
      <c r="AO849" s="570"/>
      <c r="AP849" s="570"/>
      <c r="AQ849" s="570"/>
      <c r="AR849" s="570"/>
      <c r="AS849" s="570"/>
      <c r="AT849" s="570"/>
      <c r="AU849" s="570"/>
    </row>
    <row r="850" spans="1:47" ht="15.75" customHeight="1">
      <c r="A850" s="571">
        <v>44650</v>
      </c>
      <c r="B850" s="572" t="s">
        <v>6691</v>
      </c>
      <c r="C850" s="530" t="s">
        <v>3793</v>
      </c>
      <c r="D850" s="561" t="s">
        <v>6343</v>
      </c>
      <c r="E850" s="573">
        <v>22140.93</v>
      </c>
      <c r="F850" s="561" t="s">
        <v>6692</v>
      </c>
      <c r="G850" s="561" t="s">
        <v>19</v>
      </c>
      <c r="H850" s="561" t="s">
        <v>66</v>
      </c>
      <c r="I850" s="561" t="s">
        <v>144</v>
      </c>
      <c r="J850" s="571">
        <v>44656</v>
      </c>
      <c r="K850" s="561" t="s">
        <v>3803</v>
      </c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70"/>
      <c r="AH850" s="570"/>
      <c r="AI850" s="570"/>
      <c r="AJ850" s="570"/>
      <c r="AK850" s="570"/>
      <c r="AL850" s="570"/>
      <c r="AM850" s="570"/>
      <c r="AN850" s="570"/>
      <c r="AO850" s="570"/>
      <c r="AP850" s="570"/>
      <c r="AQ850" s="570"/>
      <c r="AR850" s="570"/>
      <c r="AS850" s="570"/>
      <c r="AT850" s="570"/>
      <c r="AU850" s="570"/>
    </row>
    <row r="851" spans="1:47" ht="15.75" customHeight="1">
      <c r="A851" s="571">
        <v>44651</v>
      </c>
      <c r="B851" s="605" t="s">
        <v>6693</v>
      </c>
      <c r="C851" s="561" t="s">
        <v>3793</v>
      </c>
      <c r="D851" s="561" t="s">
        <v>956</v>
      </c>
      <c r="E851" s="573">
        <v>230428.79</v>
      </c>
      <c r="F851" s="622" t="s">
        <v>5403</v>
      </c>
      <c r="G851" s="553" t="s">
        <v>46</v>
      </c>
      <c r="H851" s="561" t="s">
        <v>2054</v>
      </c>
      <c r="I851" s="553" t="s">
        <v>6253</v>
      </c>
      <c r="J851" s="591">
        <v>44294</v>
      </c>
      <c r="K851" s="596" t="s">
        <v>3797</v>
      </c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70"/>
      <c r="AH851" s="570"/>
      <c r="AI851" s="570"/>
      <c r="AJ851" s="570"/>
      <c r="AK851" s="570"/>
      <c r="AL851" s="570"/>
      <c r="AM851" s="570"/>
      <c r="AN851" s="570"/>
      <c r="AO851" s="570"/>
      <c r="AP851" s="570"/>
      <c r="AQ851" s="570"/>
      <c r="AR851" s="570"/>
      <c r="AS851" s="570"/>
      <c r="AT851" s="570"/>
      <c r="AU851" s="570"/>
    </row>
    <row r="852" spans="1:47" ht="15.75" customHeight="1">
      <c r="A852" s="571">
        <v>44651</v>
      </c>
      <c r="B852" s="586" t="s">
        <v>6694</v>
      </c>
      <c r="C852" s="561" t="s">
        <v>3793</v>
      </c>
      <c r="D852" s="561" t="s">
        <v>956</v>
      </c>
      <c r="E852" s="573">
        <v>281890.89</v>
      </c>
      <c r="F852" s="561" t="s">
        <v>4283</v>
      </c>
      <c r="G852" s="553" t="s">
        <v>19</v>
      </c>
      <c r="H852" s="553" t="s">
        <v>66</v>
      </c>
      <c r="I852" s="553" t="s">
        <v>316</v>
      </c>
      <c r="J852" s="571">
        <v>44300</v>
      </c>
      <c r="K852" s="596" t="s">
        <v>3803</v>
      </c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70"/>
      <c r="AH852" s="570"/>
      <c r="AI852" s="570"/>
      <c r="AJ852" s="570"/>
      <c r="AK852" s="570"/>
      <c r="AL852" s="570"/>
      <c r="AM852" s="570"/>
      <c r="AN852" s="570"/>
      <c r="AO852" s="570"/>
      <c r="AP852" s="570"/>
      <c r="AQ852" s="570"/>
      <c r="AR852" s="570"/>
      <c r="AS852" s="570"/>
      <c r="AT852" s="570"/>
      <c r="AU852" s="570"/>
    </row>
    <row r="853" spans="1:47" ht="15.75" customHeight="1">
      <c r="A853" s="571">
        <v>44651</v>
      </c>
      <c r="B853" s="572">
        <v>804771</v>
      </c>
      <c r="C853" s="530" t="s">
        <v>2929</v>
      </c>
      <c r="D853" s="561" t="s">
        <v>921</v>
      </c>
      <c r="E853" s="573">
        <v>84500</v>
      </c>
      <c r="F853" s="561" t="s">
        <v>3399</v>
      </c>
      <c r="G853" s="561" t="s">
        <v>2997</v>
      </c>
      <c r="H853" s="561" t="s">
        <v>20</v>
      </c>
      <c r="I853" s="561" t="s">
        <v>2997</v>
      </c>
      <c r="J853" s="571">
        <v>43441</v>
      </c>
      <c r="K853" s="561" t="s">
        <v>3817</v>
      </c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70"/>
      <c r="AH853" s="570"/>
      <c r="AI853" s="570"/>
      <c r="AJ853" s="570"/>
      <c r="AK853" s="570"/>
      <c r="AL853" s="570"/>
      <c r="AM853" s="570"/>
      <c r="AN853" s="570"/>
      <c r="AO853" s="570"/>
      <c r="AP853" s="570"/>
      <c r="AQ853" s="570"/>
      <c r="AR853" s="570"/>
      <c r="AS853" s="570"/>
      <c r="AT853" s="570"/>
      <c r="AU853" s="570"/>
    </row>
    <row r="854" spans="1:47" ht="15.75" customHeight="1">
      <c r="A854" s="571">
        <v>44651</v>
      </c>
      <c r="B854" s="572" t="s">
        <v>6486</v>
      </c>
      <c r="C854" s="530" t="s">
        <v>2929</v>
      </c>
      <c r="D854" s="561" t="s">
        <v>921</v>
      </c>
      <c r="E854" s="573">
        <v>32277</v>
      </c>
      <c r="F854" s="561" t="s">
        <v>2951</v>
      </c>
      <c r="G854" s="561" t="s">
        <v>2931</v>
      </c>
      <c r="H854" s="561" t="s">
        <v>20</v>
      </c>
      <c r="I854" s="561" t="s">
        <v>2932</v>
      </c>
      <c r="J854" s="571">
        <v>43753</v>
      </c>
      <c r="K854" s="561" t="s">
        <v>3803</v>
      </c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70"/>
      <c r="AH854" s="570"/>
      <c r="AI854" s="570"/>
      <c r="AJ854" s="570"/>
      <c r="AK854" s="570"/>
      <c r="AL854" s="570"/>
      <c r="AM854" s="570"/>
      <c r="AN854" s="570"/>
      <c r="AO854" s="570"/>
      <c r="AP854" s="570"/>
      <c r="AQ854" s="570"/>
      <c r="AR854" s="570"/>
      <c r="AS854" s="570"/>
      <c r="AT854" s="570"/>
      <c r="AU854" s="570"/>
    </row>
    <row r="855" spans="1:47" ht="15.75" customHeight="1">
      <c r="A855" s="571">
        <v>44652</v>
      </c>
      <c r="B855" s="572" t="s">
        <v>6475</v>
      </c>
      <c r="C855" s="530" t="s">
        <v>2929</v>
      </c>
      <c r="D855" s="561" t="s">
        <v>956</v>
      </c>
      <c r="E855" s="573">
        <v>15091.06</v>
      </c>
      <c r="F855" s="561" t="s">
        <v>3339</v>
      </c>
      <c r="G855" s="561" t="s">
        <v>19</v>
      </c>
      <c r="H855" s="561" t="s">
        <v>35</v>
      </c>
      <c r="I855" s="561" t="s">
        <v>250</v>
      </c>
      <c r="J855" s="571">
        <v>44322</v>
      </c>
      <c r="K855" s="571" t="s">
        <v>3803</v>
      </c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70"/>
      <c r="AH855" s="570"/>
      <c r="AI855" s="570"/>
      <c r="AJ855" s="570"/>
      <c r="AK855" s="570"/>
      <c r="AL855" s="570"/>
      <c r="AM855" s="570"/>
      <c r="AN855" s="570"/>
      <c r="AO855" s="570"/>
      <c r="AP855" s="570"/>
      <c r="AQ855" s="570"/>
      <c r="AR855" s="570"/>
      <c r="AS855" s="570"/>
      <c r="AT855" s="570"/>
      <c r="AU855" s="570"/>
    </row>
    <row r="856" spans="1:47" ht="15.75" customHeight="1">
      <c r="A856" s="571">
        <v>44652</v>
      </c>
      <c r="B856" s="572" t="s">
        <v>6674</v>
      </c>
      <c r="C856" s="530" t="s">
        <v>3793</v>
      </c>
      <c r="D856" s="561" t="s">
        <v>6343</v>
      </c>
      <c r="E856" s="573">
        <v>31400</v>
      </c>
      <c r="F856" s="561" t="s">
        <v>3847</v>
      </c>
      <c r="G856" s="561" t="s">
        <v>19</v>
      </c>
      <c r="H856" s="561" t="s">
        <v>66</v>
      </c>
      <c r="I856" s="571" t="s">
        <v>144</v>
      </c>
      <c r="J856" s="571">
        <v>44609</v>
      </c>
      <c r="K856" s="561" t="s">
        <v>3813</v>
      </c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70"/>
      <c r="AH856" s="570"/>
      <c r="AI856" s="570"/>
      <c r="AJ856" s="570"/>
      <c r="AK856" s="570"/>
      <c r="AL856" s="570"/>
      <c r="AM856" s="570"/>
      <c r="AN856" s="570"/>
      <c r="AO856" s="570"/>
      <c r="AP856" s="570"/>
      <c r="AQ856" s="570"/>
      <c r="AR856" s="570"/>
      <c r="AS856" s="570"/>
      <c r="AT856" s="570"/>
      <c r="AU856" s="570"/>
    </row>
    <row r="857" spans="1:47" ht="15.75" customHeight="1">
      <c r="A857" s="571">
        <v>44655</v>
      </c>
      <c r="B857" s="572" t="s">
        <v>6410</v>
      </c>
      <c r="C857" s="530" t="s">
        <v>2929</v>
      </c>
      <c r="D857" s="561" t="s">
        <v>6343</v>
      </c>
      <c r="E857" s="573">
        <v>40000</v>
      </c>
      <c r="F857" s="530" t="s">
        <v>6695</v>
      </c>
      <c r="G857" s="561" t="s">
        <v>19</v>
      </c>
      <c r="H857" s="561" t="s">
        <v>35</v>
      </c>
      <c r="I857" s="561" t="s">
        <v>199</v>
      </c>
      <c r="J857" s="571">
        <v>44321</v>
      </c>
      <c r="K857" s="561" t="s">
        <v>3803</v>
      </c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70"/>
      <c r="AH857" s="570"/>
      <c r="AI857" s="570"/>
      <c r="AJ857" s="570"/>
      <c r="AK857" s="570"/>
      <c r="AL857" s="570"/>
      <c r="AM857" s="570"/>
      <c r="AN857" s="570"/>
      <c r="AO857" s="570"/>
      <c r="AP857" s="570"/>
      <c r="AQ857" s="570"/>
      <c r="AR857" s="570"/>
      <c r="AS857" s="570"/>
      <c r="AT857" s="570"/>
      <c r="AU857" s="570"/>
    </row>
    <row r="858" spans="1:47" ht="15.75" customHeight="1">
      <c r="A858" s="571">
        <v>44656</v>
      </c>
      <c r="B858" s="572" t="s">
        <v>6696</v>
      </c>
      <c r="C858" s="530" t="s">
        <v>3793</v>
      </c>
      <c r="D858" s="561" t="s">
        <v>956</v>
      </c>
      <c r="E858" s="573">
        <v>171724.96</v>
      </c>
      <c r="F858" s="561" t="s">
        <v>4779</v>
      </c>
      <c r="G858" s="561" t="s">
        <v>19</v>
      </c>
      <c r="H858" s="561" t="s">
        <v>66</v>
      </c>
      <c r="I858" s="571" t="s">
        <v>316</v>
      </c>
      <c r="J858" s="571">
        <v>44274</v>
      </c>
      <c r="K858" s="561" t="s">
        <v>3803</v>
      </c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70"/>
      <c r="AH858" s="570"/>
      <c r="AI858" s="570"/>
      <c r="AJ858" s="570"/>
      <c r="AK858" s="570"/>
      <c r="AL858" s="570"/>
      <c r="AM858" s="570"/>
      <c r="AN858" s="570"/>
      <c r="AO858" s="570"/>
      <c r="AP858" s="570"/>
      <c r="AQ858" s="570"/>
      <c r="AR858" s="570"/>
      <c r="AS858" s="570"/>
      <c r="AT858" s="570"/>
      <c r="AU858" s="570"/>
    </row>
    <row r="859" spans="1:47" ht="15.75" customHeight="1">
      <c r="A859" s="571">
        <v>44656</v>
      </c>
      <c r="B859" s="572" t="s">
        <v>6670</v>
      </c>
      <c r="C859" s="530" t="s">
        <v>2929</v>
      </c>
      <c r="D859" s="561" t="s">
        <v>6343</v>
      </c>
      <c r="E859" s="573">
        <v>25000</v>
      </c>
      <c r="F859" s="530" t="s">
        <v>6697</v>
      </c>
      <c r="G859" s="561" t="s">
        <v>19</v>
      </c>
      <c r="H859" s="561" t="s">
        <v>35</v>
      </c>
      <c r="I859" s="561" t="s">
        <v>199</v>
      </c>
      <c r="J859" s="571">
        <v>44263</v>
      </c>
      <c r="K859" s="561" t="s">
        <v>3813</v>
      </c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70"/>
      <c r="AH859" s="570"/>
      <c r="AI859" s="570"/>
      <c r="AJ859" s="570"/>
      <c r="AK859" s="570"/>
      <c r="AL859" s="570"/>
      <c r="AM859" s="570"/>
      <c r="AN859" s="570"/>
      <c r="AO859" s="570"/>
      <c r="AP859" s="570"/>
      <c r="AQ859" s="570"/>
      <c r="AR859" s="570"/>
      <c r="AS859" s="570"/>
      <c r="AT859" s="570"/>
      <c r="AU859" s="570"/>
    </row>
    <row r="860" spans="1:47" ht="15.75" customHeight="1">
      <c r="A860" s="571">
        <v>44657</v>
      </c>
      <c r="B860" s="572" t="s">
        <v>6698</v>
      </c>
      <c r="C860" s="530" t="s">
        <v>3793</v>
      </c>
      <c r="D860" s="561" t="s">
        <v>956</v>
      </c>
      <c r="E860" s="573">
        <v>221711.79</v>
      </c>
      <c r="F860" s="561" t="s">
        <v>3993</v>
      </c>
      <c r="G860" s="561" t="s">
        <v>19</v>
      </c>
      <c r="H860" s="561" t="s">
        <v>2054</v>
      </c>
      <c r="I860" s="571" t="s">
        <v>6253</v>
      </c>
      <c r="J860" s="571">
        <v>44252</v>
      </c>
      <c r="K860" s="561" t="s">
        <v>3797</v>
      </c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70"/>
      <c r="AH860" s="570"/>
      <c r="AI860" s="570"/>
      <c r="AJ860" s="570"/>
      <c r="AK860" s="570"/>
      <c r="AL860" s="570"/>
      <c r="AM860" s="570"/>
      <c r="AN860" s="570"/>
      <c r="AO860" s="570"/>
      <c r="AP860" s="570"/>
      <c r="AQ860" s="570"/>
      <c r="AR860" s="570"/>
      <c r="AS860" s="570"/>
      <c r="AT860" s="570"/>
      <c r="AU860" s="570"/>
    </row>
    <row r="861" spans="1:47" ht="15.75" customHeight="1">
      <c r="A861" s="571">
        <v>44657</v>
      </c>
      <c r="B861" s="572" t="s">
        <v>6699</v>
      </c>
      <c r="C861" s="530" t="s">
        <v>2929</v>
      </c>
      <c r="D861" s="561" t="s">
        <v>6343</v>
      </c>
      <c r="E861" s="573">
        <v>31000</v>
      </c>
      <c r="F861" s="530" t="s">
        <v>6700</v>
      </c>
      <c r="G861" s="561" t="s">
        <v>19</v>
      </c>
      <c r="H861" s="561" t="s">
        <v>35</v>
      </c>
      <c r="I861" s="561" t="s">
        <v>250</v>
      </c>
      <c r="J861" s="571">
        <v>44382</v>
      </c>
      <c r="K861" s="561" t="s">
        <v>3797</v>
      </c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70"/>
      <c r="AH861" s="570"/>
      <c r="AI861" s="570"/>
      <c r="AJ861" s="570"/>
      <c r="AK861" s="570"/>
      <c r="AL861" s="570"/>
      <c r="AM861" s="570"/>
      <c r="AN861" s="570"/>
      <c r="AO861" s="570"/>
      <c r="AP861" s="570"/>
      <c r="AQ861" s="570"/>
      <c r="AR861" s="570"/>
      <c r="AS861" s="570"/>
      <c r="AT861" s="570"/>
      <c r="AU861" s="570"/>
    </row>
    <row r="862" spans="1:47" ht="15.75" customHeight="1">
      <c r="A862" s="571">
        <v>44658</v>
      </c>
      <c r="B862" s="572" t="s">
        <v>6701</v>
      </c>
      <c r="C862" s="530" t="s">
        <v>2929</v>
      </c>
      <c r="D862" s="561" t="s">
        <v>6343</v>
      </c>
      <c r="E862" s="573">
        <v>105000</v>
      </c>
      <c r="F862" s="561" t="s">
        <v>1148</v>
      </c>
      <c r="G862" s="561" t="s">
        <v>19</v>
      </c>
      <c r="H862" s="561" t="s">
        <v>35</v>
      </c>
      <c r="I862" s="571" t="s">
        <v>606</v>
      </c>
      <c r="J862" s="571">
        <v>44677</v>
      </c>
      <c r="K862" s="561" t="s">
        <v>3810</v>
      </c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70"/>
      <c r="AH862" s="570"/>
      <c r="AI862" s="570"/>
      <c r="AJ862" s="570"/>
      <c r="AK862" s="570"/>
      <c r="AL862" s="570"/>
      <c r="AM862" s="570"/>
      <c r="AN862" s="570"/>
      <c r="AO862" s="570"/>
      <c r="AP862" s="570"/>
      <c r="AQ862" s="570"/>
      <c r="AR862" s="570"/>
      <c r="AS862" s="570"/>
      <c r="AT862" s="570"/>
      <c r="AU862" s="570"/>
    </row>
    <row r="863" spans="1:47" ht="15.75" customHeight="1">
      <c r="A863" s="571">
        <v>44658</v>
      </c>
      <c r="B863" s="572" t="s">
        <v>6665</v>
      </c>
      <c r="C863" s="530" t="s">
        <v>3793</v>
      </c>
      <c r="D863" s="561" t="s">
        <v>6343</v>
      </c>
      <c r="E863" s="573">
        <v>25000</v>
      </c>
      <c r="F863" s="561" t="s">
        <v>1741</v>
      </c>
      <c r="G863" s="561" t="s">
        <v>19</v>
      </c>
      <c r="H863" s="561" t="s">
        <v>20</v>
      </c>
      <c r="I863" s="571" t="s">
        <v>5044</v>
      </c>
      <c r="J863" s="571">
        <v>44594</v>
      </c>
      <c r="K863" s="561" t="s">
        <v>3810</v>
      </c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70"/>
      <c r="AH863" s="570"/>
      <c r="AI863" s="570"/>
      <c r="AJ863" s="570"/>
      <c r="AK863" s="570"/>
      <c r="AL863" s="570"/>
      <c r="AM863" s="570"/>
      <c r="AN863" s="570"/>
      <c r="AO863" s="570"/>
      <c r="AP863" s="570"/>
      <c r="AQ863" s="570"/>
      <c r="AR863" s="570"/>
      <c r="AS863" s="570"/>
      <c r="AT863" s="570"/>
      <c r="AU863" s="570"/>
    </row>
    <row r="864" spans="1:47" ht="15.75" customHeight="1">
      <c r="A864" s="571">
        <v>44658</v>
      </c>
      <c r="B864" s="572" t="s">
        <v>6702</v>
      </c>
      <c r="C864" s="530" t="s">
        <v>2929</v>
      </c>
      <c r="D864" s="561" t="s">
        <v>6343</v>
      </c>
      <c r="E864" s="573">
        <v>15000</v>
      </c>
      <c r="F864" s="530" t="s">
        <v>3145</v>
      </c>
      <c r="G864" s="561" t="s">
        <v>19</v>
      </c>
      <c r="H864" s="561" t="s">
        <v>35</v>
      </c>
      <c r="I864" s="561" t="s">
        <v>250</v>
      </c>
      <c r="J864" s="571">
        <v>44602</v>
      </c>
      <c r="K864" s="561" t="s">
        <v>3803</v>
      </c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70"/>
      <c r="AH864" s="570"/>
      <c r="AI864" s="570"/>
      <c r="AJ864" s="570"/>
      <c r="AK864" s="570"/>
      <c r="AL864" s="570"/>
      <c r="AM864" s="570"/>
      <c r="AN864" s="570"/>
      <c r="AO864" s="570"/>
      <c r="AP864" s="570"/>
      <c r="AQ864" s="570"/>
      <c r="AR864" s="570"/>
      <c r="AS864" s="570"/>
      <c r="AT864" s="570"/>
      <c r="AU864" s="570"/>
    </row>
    <row r="865" spans="1:47" ht="15.75" customHeight="1">
      <c r="A865" s="571">
        <v>44658</v>
      </c>
      <c r="B865" s="572" t="s">
        <v>6473</v>
      </c>
      <c r="C865" s="530" t="s">
        <v>2929</v>
      </c>
      <c r="D865" s="561" t="s">
        <v>6343</v>
      </c>
      <c r="E865" s="573">
        <v>24500</v>
      </c>
      <c r="F865" s="530" t="s">
        <v>6703</v>
      </c>
      <c r="G865" s="561" t="s">
        <v>19</v>
      </c>
      <c r="H865" s="561" t="s">
        <v>35</v>
      </c>
      <c r="I865" s="561" t="s">
        <v>250</v>
      </c>
      <c r="J865" s="571">
        <v>44439</v>
      </c>
      <c r="K865" s="561" t="s">
        <v>3813</v>
      </c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70"/>
      <c r="AH865" s="570"/>
      <c r="AI865" s="570"/>
      <c r="AJ865" s="570"/>
      <c r="AK865" s="570"/>
      <c r="AL865" s="570"/>
      <c r="AM865" s="570"/>
      <c r="AN865" s="570"/>
      <c r="AO865" s="570"/>
      <c r="AP865" s="570"/>
      <c r="AQ865" s="570"/>
      <c r="AR865" s="570"/>
      <c r="AS865" s="570"/>
      <c r="AT865" s="570"/>
      <c r="AU865" s="570"/>
    </row>
    <row r="866" spans="1:47" ht="15.75" customHeight="1">
      <c r="A866" s="575">
        <v>44658</v>
      </c>
      <c r="B866" s="603" t="s">
        <v>6704</v>
      </c>
      <c r="C866" s="405" t="s">
        <v>2929</v>
      </c>
      <c r="D866" s="561" t="s">
        <v>956</v>
      </c>
      <c r="E866" s="584" t="s">
        <v>6705</v>
      </c>
      <c r="F866" s="561" t="s">
        <v>3300</v>
      </c>
      <c r="G866" s="571" t="s">
        <v>19</v>
      </c>
      <c r="H866" s="571" t="s">
        <v>35</v>
      </c>
      <c r="I866" s="571" t="s">
        <v>250</v>
      </c>
      <c r="J866" s="571">
        <v>44440</v>
      </c>
      <c r="K866" s="571" t="s">
        <v>3803</v>
      </c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70"/>
      <c r="AH866" s="570"/>
      <c r="AI866" s="570"/>
      <c r="AJ866" s="570"/>
      <c r="AK866" s="570"/>
      <c r="AL866" s="570"/>
      <c r="AM866" s="570"/>
      <c r="AN866" s="570"/>
      <c r="AO866" s="570"/>
      <c r="AP866" s="570"/>
      <c r="AQ866" s="570"/>
      <c r="AR866" s="570"/>
      <c r="AS866" s="570"/>
      <c r="AT866" s="570"/>
      <c r="AU866" s="570"/>
    </row>
    <row r="867" spans="1:47" ht="15.75" customHeight="1">
      <c r="A867" s="571">
        <v>44659</v>
      </c>
      <c r="B867" s="572" t="s">
        <v>6706</v>
      </c>
      <c r="C867" s="530" t="s">
        <v>3793</v>
      </c>
      <c r="D867" s="561" t="s">
        <v>956</v>
      </c>
      <c r="E867" s="573">
        <v>2966054.05</v>
      </c>
      <c r="F867" s="561" t="s">
        <v>4017</v>
      </c>
      <c r="G867" s="561" t="s">
        <v>19</v>
      </c>
      <c r="H867" s="561" t="s">
        <v>2054</v>
      </c>
      <c r="I867" s="571" t="s">
        <v>6253</v>
      </c>
      <c r="J867" s="571">
        <v>44426</v>
      </c>
      <c r="K867" s="561" t="s">
        <v>4019</v>
      </c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70"/>
      <c r="AH867" s="570"/>
      <c r="AI867" s="570"/>
      <c r="AJ867" s="570"/>
      <c r="AK867" s="570"/>
      <c r="AL867" s="570"/>
      <c r="AM867" s="570"/>
      <c r="AN867" s="570"/>
      <c r="AO867" s="570"/>
      <c r="AP867" s="570"/>
      <c r="AQ867" s="570"/>
      <c r="AR867" s="570"/>
      <c r="AS867" s="570"/>
      <c r="AT867" s="570"/>
      <c r="AU867" s="570"/>
    </row>
    <row r="868" spans="1:47" ht="15.75" customHeight="1">
      <c r="A868" s="571">
        <v>44659</v>
      </c>
      <c r="B868" s="572" t="s">
        <v>6561</v>
      </c>
      <c r="C868" s="530" t="s">
        <v>3793</v>
      </c>
      <c r="D868" s="561" t="s">
        <v>956</v>
      </c>
      <c r="E868" s="573">
        <v>2132.5500000000002</v>
      </c>
      <c r="F868" s="561" t="s">
        <v>4017</v>
      </c>
      <c r="G868" s="561" t="s">
        <v>19</v>
      </c>
      <c r="H868" s="561" t="s">
        <v>2054</v>
      </c>
      <c r="I868" s="571" t="s">
        <v>6253</v>
      </c>
      <c r="J868" s="571">
        <v>44204</v>
      </c>
      <c r="K868" s="561" t="s">
        <v>4018</v>
      </c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70"/>
      <c r="AH868" s="570"/>
      <c r="AI868" s="570"/>
      <c r="AJ868" s="570"/>
      <c r="AK868" s="570"/>
      <c r="AL868" s="570"/>
      <c r="AM868" s="570"/>
      <c r="AN868" s="570"/>
      <c r="AO868" s="570"/>
      <c r="AP868" s="570"/>
      <c r="AQ868" s="570"/>
      <c r="AR868" s="570"/>
      <c r="AS868" s="570"/>
      <c r="AT868" s="570"/>
      <c r="AU868" s="570"/>
    </row>
    <row r="869" spans="1:47" ht="15.75" customHeight="1">
      <c r="A869" s="571">
        <v>44659</v>
      </c>
      <c r="B869" s="572" t="s">
        <v>6482</v>
      </c>
      <c r="C869" s="530" t="s">
        <v>3793</v>
      </c>
      <c r="D869" s="561" t="s">
        <v>956</v>
      </c>
      <c r="E869" s="573">
        <v>2832.67</v>
      </c>
      <c r="F869" s="561" t="s">
        <v>3943</v>
      </c>
      <c r="G869" s="561" t="s">
        <v>19</v>
      </c>
      <c r="H869" s="561" t="s">
        <v>2054</v>
      </c>
      <c r="I869" s="571" t="s">
        <v>6253</v>
      </c>
      <c r="J869" s="571">
        <v>44298</v>
      </c>
      <c r="K869" s="561" t="s">
        <v>3813</v>
      </c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70"/>
      <c r="AH869" s="570"/>
      <c r="AI869" s="570"/>
      <c r="AJ869" s="570"/>
      <c r="AK869" s="570"/>
      <c r="AL869" s="570"/>
      <c r="AM869" s="570"/>
      <c r="AN869" s="570"/>
      <c r="AO869" s="570"/>
      <c r="AP869" s="570"/>
      <c r="AQ869" s="570"/>
      <c r="AR869" s="570"/>
      <c r="AS869" s="570"/>
      <c r="AT869" s="570"/>
      <c r="AU869" s="570"/>
    </row>
    <row r="870" spans="1:47" ht="15.75" customHeight="1">
      <c r="A870" s="571">
        <v>44659</v>
      </c>
      <c r="B870" s="572" t="s">
        <v>6707</v>
      </c>
      <c r="C870" s="530" t="s">
        <v>3793</v>
      </c>
      <c r="D870" s="561" t="s">
        <v>956</v>
      </c>
      <c r="E870" s="573">
        <v>815208.64</v>
      </c>
      <c r="F870" s="561" t="s">
        <v>4062</v>
      </c>
      <c r="G870" s="561" t="s">
        <v>19</v>
      </c>
      <c r="H870" s="561" t="s">
        <v>66</v>
      </c>
      <c r="I870" s="571" t="s">
        <v>6253</v>
      </c>
      <c r="J870" s="571">
        <v>44445</v>
      </c>
      <c r="K870" s="561" t="s">
        <v>4019</v>
      </c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70"/>
      <c r="AH870" s="570"/>
      <c r="AI870" s="570"/>
      <c r="AJ870" s="570"/>
      <c r="AK870" s="570"/>
      <c r="AL870" s="570"/>
      <c r="AM870" s="570"/>
      <c r="AN870" s="570"/>
      <c r="AO870" s="570"/>
      <c r="AP870" s="570"/>
      <c r="AQ870" s="570"/>
      <c r="AR870" s="570"/>
      <c r="AS870" s="570"/>
      <c r="AT870" s="570"/>
      <c r="AU870" s="570"/>
    </row>
    <row r="871" spans="1:47" ht="15.75" customHeight="1">
      <c r="A871" s="571">
        <v>44662</v>
      </c>
      <c r="B871" s="572" t="s">
        <v>3636</v>
      </c>
      <c r="C871" s="530" t="s">
        <v>3613</v>
      </c>
      <c r="D871" s="561" t="s">
        <v>6343</v>
      </c>
      <c r="E871" s="573">
        <v>3000</v>
      </c>
      <c r="F871" s="561" t="s">
        <v>3635</v>
      </c>
      <c r="G871" s="561" t="s">
        <v>19</v>
      </c>
      <c r="H871" s="561" t="s">
        <v>19</v>
      </c>
      <c r="I871" s="571" t="s">
        <v>6246</v>
      </c>
      <c r="J871" s="571">
        <v>44062</v>
      </c>
      <c r="K871" s="561" t="s">
        <v>3803</v>
      </c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70"/>
      <c r="AH871" s="570"/>
      <c r="AI871" s="570"/>
      <c r="AJ871" s="570"/>
      <c r="AK871" s="570"/>
      <c r="AL871" s="570"/>
      <c r="AM871" s="570"/>
      <c r="AN871" s="570"/>
      <c r="AO871" s="570"/>
      <c r="AP871" s="570"/>
      <c r="AQ871" s="570"/>
      <c r="AR871" s="570"/>
      <c r="AS871" s="570"/>
      <c r="AT871" s="570"/>
      <c r="AU871" s="570"/>
    </row>
    <row r="872" spans="1:47" ht="15.75" customHeight="1">
      <c r="A872" s="571">
        <v>44662</v>
      </c>
      <c r="B872" s="572" t="s">
        <v>6677</v>
      </c>
      <c r="C872" s="530" t="s">
        <v>2929</v>
      </c>
      <c r="D872" s="561" t="s">
        <v>921</v>
      </c>
      <c r="E872" s="573">
        <v>119000</v>
      </c>
      <c r="F872" s="530" t="s">
        <v>3492</v>
      </c>
      <c r="G872" s="561" t="s">
        <v>19</v>
      </c>
      <c r="H872" s="561" t="s">
        <v>35</v>
      </c>
      <c r="I872" s="561" t="s">
        <v>2979</v>
      </c>
      <c r="J872" s="571">
        <v>44199</v>
      </c>
      <c r="K872" s="571" t="s">
        <v>3813</v>
      </c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70"/>
      <c r="AH872" s="570"/>
      <c r="AI872" s="570"/>
      <c r="AJ872" s="570"/>
      <c r="AK872" s="570"/>
      <c r="AL872" s="570"/>
      <c r="AM872" s="570"/>
      <c r="AN872" s="570"/>
      <c r="AO872" s="570"/>
      <c r="AP872" s="570"/>
      <c r="AQ872" s="570"/>
      <c r="AR872" s="570"/>
      <c r="AS872" s="570"/>
      <c r="AT872" s="570"/>
      <c r="AU872" s="570"/>
    </row>
    <row r="873" spans="1:47" ht="15.75" customHeight="1">
      <c r="A873" s="571">
        <v>44663</v>
      </c>
      <c r="B873" s="572" t="s">
        <v>6708</v>
      </c>
      <c r="C873" s="530" t="s">
        <v>3793</v>
      </c>
      <c r="D873" s="561" t="s">
        <v>6343</v>
      </c>
      <c r="E873" s="573">
        <v>50000</v>
      </c>
      <c r="F873" s="530" t="s">
        <v>2055</v>
      </c>
      <c r="G873" s="561" t="s">
        <v>19</v>
      </c>
      <c r="H873" s="561" t="s">
        <v>66</v>
      </c>
      <c r="I873" s="561" t="s">
        <v>144</v>
      </c>
      <c r="J873" s="571">
        <v>44614</v>
      </c>
      <c r="K873" s="561" t="s">
        <v>3803</v>
      </c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70"/>
      <c r="AH873" s="570"/>
      <c r="AI873" s="570"/>
      <c r="AJ873" s="570"/>
      <c r="AK873" s="570"/>
      <c r="AL873" s="570"/>
      <c r="AM873" s="570"/>
      <c r="AN873" s="570"/>
      <c r="AO873" s="570"/>
      <c r="AP873" s="570"/>
      <c r="AQ873" s="570"/>
      <c r="AR873" s="570"/>
      <c r="AS873" s="570"/>
      <c r="AT873" s="570"/>
      <c r="AU873" s="570"/>
    </row>
    <row r="874" spans="1:47" ht="15.75" customHeight="1">
      <c r="A874" s="571">
        <v>44663</v>
      </c>
      <c r="B874" s="572" t="s">
        <v>6709</v>
      </c>
      <c r="C874" s="530" t="s">
        <v>2929</v>
      </c>
      <c r="D874" s="561" t="s">
        <v>6343</v>
      </c>
      <c r="E874" s="573">
        <v>33000</v>
      </c>
      <c r="F874" s="530" t="s">
        <v>6710</v>
      </c>
      <c r="G874" s="561" t="s">
        <v>19</v>
      </c>
      <c r="H874" s="561" t="s">
        <v>35</v>
      </c>
      <c r="I874" s="561" t="s">
        <v>250</v>
      </c>
      <c r="J874" s="571">
        <v>44615</v>
      </c>
      <c r="K874" s="561" t="s">
        <v>3813</v>
      </c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70"/>
      <c r="AH874" s="570"/>
      <c r="AI874" s="570"/>
      <c r="AJ874" s="570"/>
      <c r="AK874" s="570"/>
      <c r="AL874" s="570"/>
      <c r="AM874" s="570"/>
      <c r="AN874" s="570"/>
      <c r="AO874" s="570"/>
      <c r="AP874" s="570"/>
      <c r="AQ874" s="570"/>
      <c r="AR874" s="570"/>
      <c r="AS874" s="570"/>
      <c r="AT874" s="570"/>
      <c r="AU874" s="570"/>
    </row>
    <row r="875" spans="1:47" ht="15.75" customHeight="1">
      <c r="A875" s="571">
        <v>44663</v>
      </c>
      <c r="B875" s="572" t="s">
        <v>6711</v>
      </c>
      <c r="C875" s="530" t="s">
        <v>3793</v>
      </c>
      <c r="D875" s="561" t="s">
        <v>6343</v>
      </c>
      <c r="E875" s="573">
        <v>129700</v>
      </c>
      <c r="F875" s="530" t="s">
        <v>5111</v>
      </c>
      <c r="G875" s="561" t="s">
        <v>46</v>
      </c>
      <c r="H875" s="561" t="s">
        <v>20</v>
      </c>
      <c r="I875" s="561" t="s">
        <v>4136</v>
      </c>
      <c r="J875" s="571">
        <v>44320</v>
      </c>
      <c r="K875" s="561" t="s">
        <v>3797</v>
      </c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70"/>
      <c r="AH875" s="570"/>
      <c r="AI875" s="570"/>
      <c r="AJ875" s="570"/>
      <c r="AK875" s="570"/>
      <c r="AL875" s="570"/>
      <c r="AM875" s="570"/>
      <c r="AN875" s="570"/>
      <c r="AO875" s="570"/>
      <c r="AP875" s="570"/>
      <c r="AQ875" s="570"/>
      <c r="AR875" s="570"/>
      <c r="AS875" s="570"/>
      <c r="AT875" s="570"/>
      <c r="AU875" s="570"/>
    </row>
    <row r="876" spans="1:47" ht="15.75" customHeight="1">
      <c r="A876" s="571">
        <v>44663</v>
      </c>
      <c r="B876" s="572" t="s">
        <v>6349</v>
      </c>
      <c r="C876" s="530" t="s">
        <v>2929</v>
      </c>
      <c r="D876" s="561" t="s">
        <v>6343</v>
      </c>
      <c r="E876" s="573">
        <v>6000</v>
      </c>
      <c r="F876" s="530" t="s">
        <v>3198</v>
      </c>
      <c r="G876" s="561" t="s">
        <v>2931</v>
      </c>
      <c r="H876" s="561" t="s">
        <v>20</v>
      </c>
      <c r="I876" s="561" t="s">
        <v>2932</v>
      </c>
      <c r="J876" s="571">
        <v>43703</v>
      </c>
      <c r="K876" s="571" t="s">
        <v>4196</v>
      </c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70"/>
      <c r="AH876" s="570"/>
      <c r="AI876" s="570"/>
      <c r="AJ876" s="570"/>
      <c r="AK876" s="570"/>
      <c r="AL876" s="570"/>
      <c r="AM876" s="570"/>
      <c r="AN876" s="570"/>
      <c r="AO876" s="570"/>
      <c r="AP876" s="570"/>
      <c r="AQ876" s="570"/>
      <c r="AR876" s="570"/>
      <c r="AS876" s="570"/>
      <c r="AT876" s="570"/>
      <c r="AU876" s="570"/>
    </row>
    <row r="877" spans="1:47" ht="15.75" customHeight="1">
      <c r="A877" s="571">
        <v>44665</v>
      </c>
      <c r="B877" s="572" t="s">
        <v>6712</v>
      </c>
      <c r="C877" s="530" t="s">
        <v>3793</v>
      </c>
      <c r="D877" s="561" t="s">
        <v>956</v>
      </c>
      <c r="E877" s="573">
        <v>66169.95</v>
      </c>
      <c r="F877" s="561" t="s">
        <v>3852</v>
      </c>
      <c r="G877" s="561" t="s">
        <v>19</v>
      </c>
      <c r="H877" s="561" t="s">
        <v>66</v>
      </c>
      <c r="I877" s="571" t="s">
        <v>316</v>
      </c>
      <c r="J877" s="571">
        <v>44547</v>
      </c>
      <c r="K877" s="561" t="s">
        <v>3817</v>
      </c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70"/>
      <c r="AH877" s="570"/>
      <c r="AI877" s="570"/>
      <c r="AJ877" s="570"/>
      <c r="AK877" s="570"/>
      <c r="AL877" s="570"/>
      <c r="AM877" s="570"/>
      <c r="AN877" s="570"/>
      <c r="AO877" s="570"/>
      <c r="AP877" s="570"/>
      <c r="AQ877" s="570"/>
      <c r="AR877" s="570"/>
      <c r="AS877" s="570"/>
      <c r="AT877" s="570"/>
      <c r="AU877" s="570"/>
    </row>
    <row r="878" spans="1:47" ht="15.75" customHeight="1">
      <c r="A878" s="571">
        <v>44669</v>
      </c>
      <c r="B878" s="572" t="s">
        <v>6713</v>
      </c>
      <c r="C878" s="530" t="s">
        <v>3793</v>
      </c>
      <c r="D878" s="561" t="s">
        <v>956</v>
      </c>
      <c r="E878" s="573">
        <v>154271.19</v>
      </c>
      <c r="F878" s="561" t="s">
        <v>4701</v>
      </c>
      <c r="G878" s="561" t="s">
        <v>19</v>
      </c>
      <c r="H878" s="561" t="s">
        <v>20</v>
      </c>
      <c r="I878" s="571" t="s">
        <v>56</v>
      </c>
      <c r="J878" s="571">
        <v>44389</v>
      </c>
      <c r="K878" s="561" t="s">
        <v>3797</v>
      </c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70"/>
      <c r="AH878" s="570"/>
      <c r="AI878" s="570"/>
      <c r="AJ878" s="570"/>
      <c r="AK878" s="570"/>
      <c r="AL878" s="570"/>
      <c r="AM878" s="570"/>
      <c r="AN878" s="570"/>
      <c r="AO878" s="570"/>
      <c r="AP878" s="570"/>
      <c r="AQ878" s="570"/>
      <c r="AR878" s="570"/>
      <c r="AS878" s="570"/>
      <c r="AT878" s="570"/>
      <c r="AU878" s="570"/>
    </row>
    <row r="879" spans="1:47" ht="15.75" customHeight="1">
      <c r="A879" s="571">
        <v>44669</v>
      </c>
      <c r="B879" s="572" t="s">
        <v>6714</v>
      </c>
      <c r="C879" s="530" t="s">
        <v>3793</v>
      </c>
      <c r="D879" s="561" t="s">
        <v>6343</v>
      </c>
      <c r="E879" s="573">
        <v>20000</v>
      </c>
      <c r="F879" s="561" t="s">
        <v>4970</v>
      </c>
      <c r="G879" s="561" t="s">
        <v>19</v>
      </c>
      <c r="H879" s="561" t="s">
        <v>20</v>
      </c>
      <c r="I879" s="571" t="s">
        <v>3647</v>
      </c>
      <c r="J879" s="571">
        <v>44424</v>
      </c>
      <c r="K879" s="561" t="s">
        <v>3813</v>
      </c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70"/>
      <c r="AH879" s="570"/>
      <c r="AI879" s="570"/>
      <c r="AJ879" s="570"/>
      <c r="AK879" s="570"/>
      <c r="AL879" s="570"/>
      <c r="AM879" s="570"/>
      <c r="AN879" s="570"/>
      <c r="AO879" s="570"/>
      <c r="AP879" s="570"/>
      <c r="AQ879" s="570"/>
      <c r="AR879" s="570"/>
      <c r="AS879" s="570"/>
      <c r="AT879" s="570"/>
      <c r="AU879" s="570"/>
    </row>
    <row r="880" spans="1:47" ht="15.75" customHeight="1">
      <c r="A880" s="571">
        <v>44669</v>
      </c>
      <c r="B880" s="572" t="s">
        <v>6414</v>
      </c>
      <c r="C880" s="530" t="s">
        <v>3793</v>
      </c>
      <c r="D880" s="561" t="s">
        <v>6343</v>
      </c>
      <c r="E880" s="573">
        <v>25000</v>
      </c>
      <c r="F880" s="561" t="s">
        <v>4381</v>
      </c>
      <c r="G880" s="561" t="s">
        <v>46</v>
      </c>
      <c r="H880" s="561" t="s">
        <v>20</v>
      </c>
      <c r="I880" s="571" t="s">
        <v>3870</v>
      </c>
      <c r="J880" s="571">
        <v>44263</v>
      </c>
      <c r="K880" s="561" t="s">
        <v>3803</v>
      </c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70"/>
      <c r="AH880" s="570"/>
      <c r="AI880" s="570"/>
      <c r="AJ880" s="570"/>
      <c r="AK880" s="570"/>
      <c r="AL880" s="570"/>
      <c r="AM880" s="570"/>
      <c r="AN880" s="570"/>
      <c r="AO880" s="570"/>
      <c r="AP880" s="570"/>
      <c r="AQ880" s="570"/>
      <c r="AR880" s="570"/>
      <c r="AS880" s="570"/>
      <c r="AT880" s="570"/>
      <c r="AU880" s="570"/>
    </row>
    <row r="881" spans="1:47" ht="15.75" customHeight="1">
      <c r="A881" s="571">
        <v>44669</v>
      </c>
      <c r="B881" s="572" t="s">
        <v>6691</v>
      </c>
      <c r="C881" s="530" t="s">
        <v>3793</v>
      </c>
      <c r="D881" s="561" t="s">
        <v>6343</v>
      </c>
      <c r="E881" s="573">
        <v>10000</v>
      </c>
      <c r="F881" s="530" t="s">
        <v>6692</v>
      </c>
      <c r="G881" s="561" t="s">
        <v>19</v>
      </c>
      <c r="H881" s="561" t="s">
        <v>66</v>
      </c>
      <c r="I881" s="561" t="s">
        <v>144</v>
      </c>
      <c r="J881" s="571">
        <v>44656</v>
      </c>
      <c r="K881" s="561" t="s">
        <v>3803</v>
      </c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70"/>
      <c r="AH881" s="570"/>
      <c r="AI881" s="570"/>
      <c r="AJ881" s="570"/>
      <c r="AK881" s="570"/>
      <c r="AL881" s="570"/>
      <c r="AM881" s="570"/>
      <c r="AN881" s="570"/>
      <c r="AO881" s="570"/>
      <c r="AP881" s="570"/>
      <c r="AQ881" s="570"/>
      <c r="AR881" s="570"/>
      <c r="AS881" s="570"/>
      <c r="AT881" s="570"/>
      <c r="AU881" s="570"/>
    </row>
    <row r="882" spans="1:47" ht="15.75" customHeight="1">
      <c r="A882" s="571">
        <v>44669</v>
      </c>
      <c r="B882" s="572">
        <v>7542389</v>
      </c>
      <c r="C882" s="530" t="s">
        <v>3793</v>
      </c>
      <c r="D882" s="561" t="s">
        <v>6343</v>
      </c>
      <c r="E882" s="573">
        <v>1000</v>
      </c>
      <c r="F882" s="530" t="s">
        <v>4852</v>
      </c>
      <c r="G882" s="561" t="s">
        <v>46</v>
      </c>
      <c r="H882" s="561" t="s">
        <v>20</v>
      </c>
      <c r="I882" s="561" t="s">
        <v>3855</v>
      </c>
      <c r="J882" s="571">
        <v>44579</v>
      </c>
      <c r="K882" s="561" t="s">
        <v>4158</v>
      </c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70"/>
      <c r="AH882" s="570"/>
      <c r="AI882" s="570"/>
      <c r="AJ882" s="570"/>
      <c r="AK882" s="570"/>
      <c r="AL882" s="570"/>
      <c r="AM882" s="570"/>
      <c r="AN882" s="570"/>
      <c r="AO882" s="570"/>
      <c r="AP882" s="570"/>
      <c r="AQ882" s="570"/>
      <c r="AR882" s="570"/>
      <c r="AS882" s="570"/>
      <c r="AT882" s="570"/>
      <c r="AU882" s="570"/>
    </row>
    <row r="883" spans="1:47" ht="15.75" customHeight="1">
      <c r="A883" s="571">
        <v>44669</v>
      </c>
      <c r="B883" s="572" t="s">
        <v>6444</v>
      </c>
      <c r="C883" s="530" t="s">
        <v>3793</v>
      </c>
      <c r="D883" s="561" t="s">
        <v>6343</v>
      </c>
      <c r="E883" s="573">
        <v>5000</v>
      </c>
      <c r="F883" s="530" t="s">
        <v>5095</v>
      </c>
      <c r="G883" s="561" t="s">
        <v>46</v>
      </c>
      <c r="H883" s="561" t="s">
        <v>20</v>
      </c>
      <c r="I883" s="561" t="s">
        <v>4480</v>
      </c>
      <c r="J883" s="571">
        <v>44180</v>
      </c>
      <c r="K883" s="561" t="s">
        <v>3803</v>
      </c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70"/>
      <c r="AH883" s="570"/>
      <c r="AI883" s="570"/>
      <c r="AJ883" s="570"/>
      <c r="AK883" s="570"/>
      <c r="AL883" s="570"/>
      <c r="AM883" s="570"/>
      <c r="AN883" s="570"/>
      <c r="AO883" s="570"/>
      <c r="AP883" s="570"/>
      <c r="AQ883" s="570"/>
      <c r="AR883" s="570"/>
      <c r="AS883" s="570"/>
      <c r="AT883" s="570"/>
      <c r="AU883" s="570"/>
    </row>
    <row r="884" spans="1:47" ht="15.75" customHeight="1">
      <c r="A884" s="571">
        <v>44670</v>
      </c>
      <c r="B884" s="572" t="s">
        <v>6658</v>
      </c>
      <c r="C884" s="530" t="s">
        <v>2929</v>
      </c>
      <c r="D884" s="561" t="s">
        <v>6343</v>
      </c>
      <c r="E884" s="573">
        <v>62000</v>
      </c>
      <c r="F884" s="530" t="s">
        <v>6715</v>
      </c>
      <c r="G884" s="561" t="s">
        <v>2931</v>
      </c>
      <c r="H884" s="561" t="s">
        <v>20</v>
      </c>
      <c r="I884" s="561" t="s">
        <v>2932</v>
      </c>
      <c r="J884" s="571">
        <v>43811</v>
      </c>
      <c r="K884" s="561" t="s">
        <v>3813</v>
      </c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70"/>
      <c r="AH884" s="570"/>
      <c r="AI884" s="570"/>
      <c r="AJ884" s="570"/>
      <c r="AK884" s="570"/>
      <c r="AL884" s="570"/>
      <c r="AM884" s="570"/>
      <c r="AN884" s="570"/>
      <c r="AO884" s="570"/>
      <c r="AP884" s="570"/>
      <c r="AQ884" s="570"/>
      <c r="AR884" s="570"/>
      <c r="AS884" s="570"/>
      <c r="AT884" s="570"/>
      <c r="AU884" s="570"/>
    </row>
    <row r="885" spans="1:47" ht="15.75" customHeight="1">
      <c r="A885" s="571">
        <v>44671</v>
      </c>
      <c r="B885" s="572" t="s">
        <v>6716</v>
      </c>
      <c r="C885" s="530" t="s">
        <v>3793</v>
      </c>
      <c r="D885" s="561" t="s">
        <v>921</v>
      </c>
      <c r="E885" s="573">
        <v>581895.17000000004</v>
      </c>
      <c r="F885" s="530" t="s">
        <v>3816</v>
      </c>
      <c r="G885" s="561" t="s">
        <v>19</v>
      </c>
      <c r="H885" s="561" t="s">
        <v>66</v>
      </c>
      <c r="I885" s="561" t="s">
        <v>5266</v>
      </c>
      <c r="J885" s="571">
        <v>44084</v>
      </c>
      <c r="K885" s="561" t="s">
        <v>3817</v>
      </c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70"/>
      <c r="AH885" s="570"/>
      <c r="AI885" s="570"/>
      <c r="AJ885" s="570"/>
      <c r="AK885" s="570"/>
      <c r="AL885" s="570"/>
      <c r="AM885" s="570"/>
      <c r="AN885" s="570"/>
      <c r="AO885" s="570"/>
      <c r="AP885" s="570"/>
      <c r="AQ885" s="570"/>
      <c r="AR885" s="570"/>
      <c r="AS885" s="570"/>
      <c r="AT885" s="570"/>
      <c r="AU885" s="570"/>
    </row>
    <row r="886" spans="1:47" ht="15.75" customHeight="1">
      <c r="A886" s="571">
        <v>44671</v>
      </c>
      <c r="B886" s="572" t="s">
        <v>6717</v>
      </c>
      <c r="C886" s="530" t="s">
        <v>3793</v>
      </c>
      <c r="D886" s="561" t="s">
        <v>6343</v>
      </c>
      <c r="E886" s="573">
        <v>10000</v>
      </c>
      <c r="F886" s="530" t="s">
        <v>4746</v>
      </c>
      <c r="G886" s="561" t="s">
        <v>19</v>
      </c>
      <c r="H886" s="561" t="s">
        <v>66</v>
      </c>
      <c r="I886" s="561" t="s">
        <v>67</v>
      </c>
      <c r="J886" s="571">
        <v>44645</v>
      </c>
      <c r="K886" s="561" t="s">
        <v>3810</v>
      </c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70"/>
      <c r="AH886" s="570"/>
      <c r="AI886" s="570"/>
      <c r="AJ886" s="570"/>
      <c r="AK886" s="570"/>
      <c r="AL886" s="570"/>
      <c r="AM886" s="570"/>
      <c r="AN886" s="570"/>
      <c r="AO886" s="570"/>
      <c r="AP886" s="570"/>
      <c r="AQ886" s="570"/>
      <c r="AR886" s="570"/>
      <c r="AS886" s="570"/>
      <c r="AT886" s="570"/>
      <c r="AU886" s="570"/>
    </row>
    <row r="887" spans="1:47" ht="15.75" customHeight="1">
      <c r="A887" s="571">
        <v>44671</v>
      </c>
      <c r="B887" s="572" t="s">
        <v>6477</v>
      </c>
      <c r="C887" s="530" t="s">
        <v>2929</v>
      </c>
      <c r="D887" s="561" t="s">
        <v>6343</v>
      </c>
      <c r="E887" s="573">
        <v>15000</v>
      </c>
      <c r="F887" s="530" t="s">
        <v>6718</v>
      </c>
      <c r="G887" s="561" t="s">
        <v>19</v>
      </c>
      <c r="H887" s="561" t="s">
        <v>35</v>
      </c>
      <c r="I887" s="561" t="s">
        <v>250</v>
      </c>
      <c r="J887" s="571">
        <v>44319</v>
      </c>
      <c r="K887" s="561" t="s">
        <v>3803</v>
      </c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70"/>
      <c r="AH887" s="570"/>
      <c r="AI887" s="570"/>
      <c r="AJ887" s="570"/>
      <c r="AK887" s="570"/>
      <c r="AL887" s="570"/>
      <c r="AM887" s="570"/>
      <c r="AN887" s="570"/>
      <c r="AO887" s="570"/>
      <c r="AP887" s="570"/>
      <c r="AQ887" s="570"/>
      <c r="AR887" s="570"/>
      <c r="AS887" s="570"/>
      <c r="AT887" s="570"/>
      <c r="AU887" s="570"/>
    </row>
    <row r="888" spans="1:47" ht="15.75" customHeight="1">
      <c r="A888" s="571">
        <v>44671</v>
      </c>
      <c r="B888" s="572" t="s">
        <v>6521</v>
      </c>
      <c r="C888" s="530" t="s">
        <v>2929</v>
      </c>
      <c r="D888" s="561" t="s">
        <v>6343</v>
      </c>
      <c r="E888" s="573">
        <v>911.9</v>
      </c>
      <c r="F888" s="530" t="s">
        <v>736</v>
      </c>
      <c r="G888" s="561" t="s">
        <v>19</v>
      </c>
      <c r="H888" s="561" t="s">
        <v>35</v>
      </c>
      <c r="I888" s="561" t="s">
        <v>199</v>
      </c>
      <c r="J888" s="571">
        <v>44280</v>
      </c>
      <c r="K888" s="561" t="s">
        <v>3803</v>
      </c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70"/>
      <c r="AH888" s="570"/>
      <c r="AI888" s="570"/>
      <c r="AJ888" s="570"/>
      <c r="AK888" s="570"/>
      <c r="AL888" s="570"/>
      <c r="AM888" s="570"/>
      <c r="AN888" s="570"/>
      <c r="AO888" s="570"/>
      <c r="AP888" s="570"/>
      <c r="AQ888" s="570"/>
      <c r="AR888" s="570"/>
      <c r="AS888" s="570"/>
      <c r="AT888" s="570"/>
      <c r="AU888" s="570"/>
    </row>
    <row r="889" spans="1:47" ht="15.75" customHeight="1">
      <c r="A889" s="571">
        <v>44673</v>
      </c>
      <c r="B889" s="572" t="s">
        <v>6678</v>
      </c>
      <c r="C889" s="530" t="s">
        <v>3793</v>
      </c>
      <c r="D889" s="561" t="s">
        <v>6343</v>
      </c>
      <c r="E889" s="573">
        <v>146000</v>
      </c>
      <c r="F889" s="530" t="s">
        <v>4499</v>
      </c>
      <c r="G889" s="561" t="s">
        <v>19</v>
      </c>
      <c r="H889" s="561" t="s">
        <v>66</v>
      </c>
      <c r="I889" s="561" t="s">
        <v>144</v>
      </c>
      <c r="J889" s="571">
        <v>44615</v>
      </c>
      <c r="K889" s="561" t="s">
        <v>3803</v>
      </c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70"/>
      <c r="AH889" s="570"/>
      <c r="AI889" s="570"/>
      <c r="AJ889" s="570"/>
      <c r="AK889" s="570"/>
      <c r="AL889" s="570"/>
      <c r="AM889" s="570"/>
      <c r="AN889" s="570"/>
      <c r="AO889" s="570"/>
      <c r="AP889" s="570"/>
      <c r="AQ889" s="570"/>
      <c r="AR889" s="570"/>
      <c r="AS889" s="570"/>
      <c r="AT889" s="570"/>
      <c r="AU889" s="570"/>
    </row>
    <row r="890" spans="1:47" ht="15.75" customHeight="1">
      <c r="A890" s="571">
        <v>44673</v>
      </c>
      <c r="B890" s="572" t="s">
        <v>6719</v>
      </c>
      <c r="C890" s="530" t="s">
        <v>3793</v>
      </c>
      <c r="D890" s="561" t="s">
        <v>956</v>
      </c>
      <c r="E890" s="573">
        <v>114850.92</v>
      </c>
      <c r="F890" s="530" t="s">
        <v>4417</v>
      </c>
      <c r="G890" s="561" t="s">
        <v>19</v>
      </c>
      <c r="H890" s="561" t="s">
        <v>66</v>
      </c>
      <c r="I890" s="561" t="s">
        <v>316</v>
      </c>
      <c r="J890" s="571">
        <v>44462</v>
      </c>
      <c r="K890" s="561" t="s">
        <v>3803</v>
      </c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70"/>
      <c r="AH890" s="570"/>
      <c r="AI890" s="570"/>
      <c r="AJ890" s="570"/>
      <c r="AK890" s="570"/>
      <c r="AL890" s="570"/>
      <c r="AM890" s="570"/>
      <c r="AN890" s="570"/>
      <c r="AO890" s="570"/>
      <c r="AP890" s="570"/>
      <c r="AQ890" s="570"/>
      <c r="AR890" s="570"/>
      <c r="AS890" s="570"/>
      <c r="AT890" s="570"/>
      <c r="AU890" s="570"/>
    </row>
    <row r="891" spans="1:47" ht="15.75" customHeight="1">
      <c r="A891" s="571">
        <v>44673</v>
      </c>
      <c r="B891" s="572" t="s">
        <v>6720</v>
      </c>
      <c r="C891" s="530" t="s">
        <v>3793</v>
      </c>
      <c r="D891" s="561" t="s">
        <v>6343</v>
      </c>
      <c r="E891" s="573">
        <v>100000</v>
      </c>
      <c r="F891" s="530" t="s">
        <v>6721</v>
      </c>
      <c r="G891" s="561" t="s">
        <v>19</v>
      </c>
      <c r="H891" s="561" t="s">
        <v>66</v>
      </c>
      <c r="I891" s="571" t="s">
        <v>6328</v>
      </c>
      <c r="J891" s="571">
        <v>44454</v>
      </c>
      <c r="K891" s="561" t="s">
        <v>3803</v>
      </c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70"/>
      <c r="AH891" s="570"/>
      <c r="AI891" s="570"/>
      <c r="AJ891" s="570"/>
      <c r="AK891" s="570"/>
      <c r="AL891" s="570"/>
      <c r="AM891" s="570"/>
      <c r="AN891" s="570"/>
      <c r="AO891" s="570"/>
      <c r="AP891" s="570"/>
      <c r="AQ891" s="570"/>
      <c r="AR891" s="570"/>
      <c r="AS891" s="570"/>
      <c r="AT891" s="570"/>
      <c r="AU891" s="570"/>
    </row>
    <row r="892" spans="1:47" ht="15.75" customHeight="1">
      <c r="A892" s="571">
        <v>44673</v>
      </c>
      <c r="B892" s="572" t="s">
        <v>6506</v>
      </c>
      <c r="C892" s="530" t="s">
        <v>2929</v>
      </c>
      <c r="D892" s="561" t="s">
        <v>6343</v>
      </c>
      <c r="E892" s="573">
        <v>100000</v>
      </c>
      <c r="F892" s="530" t="s">
        <v>6722</v>
      </c>
      <c r="G892" s="561" t="s">
        <v>19</v>
      </c>
      <c r="H892" s="561" t="s">
        <v>35</v>
      </c>
      <c r="I892" s="561" t="s">
        <v>250</v>
      </c>
      <c r="J892" s="571">
        <v>44321</v>
      </c>
      <c r="K892" s="561" t="s">
        <v>3813</v>
      </c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70"/>
      <c r="AH892" s="570"/>
      <c r="AI892" s="570"/>
      <c r="AJ892" s="570"/>
      <c r="AK892" s="570"/>
      <c r="AL892" s="570"/>
      <c r="AM892" s="570"/>
      <c r="AN892" s="570"/>
      <c r="AO892" s="570"/>
      <c r="AP892" s="570"/>
      <c r="AQ892" s="570"/>
      <c r="AR892" s="570"/>
      <c r="AS892" s="570"/>
      <c r="AT892" s="570"/>
      <c r="AU892" s="570"/>
    </row>
    <row r="893" spans="1:47" ht="15.75" customHeight="1">
      <c r="A893" s="571">
        <v>44676</v>
      </c>
      <c r="B893" s="572" t="s">
        <v>6655</v>
      </c>
      <c r="C893" s="530" t="s">
        <v>2929</v>
      </c>
      <c r="D893" s="561" t="s">
        <v>6343</v>
      </c>
      <c r="E893" s="573">
        <v>20000</v>
      </c>
      <c r="F893" s="530" t="s">
        <v>3275</v>
      </c>
      <c r="G893" s="561" t="s">
        <v>19</v>
      </c>
      <c r="H893" s="561" t="s">
        <v>35</v>
      </c>
      <c r="I893" s="561" t="s">
        <v>250</v>
      </c>
      <c r="J893" s="571">
        <v>44333</v>
      </c>
      <c r="K893" s="561" t="s">
        <v>3813</v>
      </c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70"/>
      <c r="AH893" s="570"/>
      <c r="AI893" s="570"/>
      <c r="AJ893" s="570"/>
      <c r="AK893" s="570"/>
      <c r="AL893" s="570"/>
      <c r="AM893" s="570"/>
      <c r="AN893" s="570"/>
      <c r="AO893" s="570"/>
      <c r="AP893" s="570"/>
      <c r="AQ893" s="570"/>
      <c r="AR893" s="570"/>
      <c r="AS893" s="570"/>
      <c r="AT893" s="570"/>
      <c r="AU893" s="570"/>
    </row>
    <row r="894" spans="1:47" ht="15.75" customHeight="1">
      <c r="A894" s="575">
        <v>44676</v>
      </c>
      <c r="B894" s="603" t="s">
        <v>6723</v>
      </c>
      <c r="C894" s="405" t="s">
        <v>2929</v>
      </c>
      <c r="D894" s="561" t="s">
        <v>956</v>
      </c>
      <c r="E894" s="584" t="s">
        <v>6724</v>
      </c>
      <c r="F894" s="561" t="s">
        <v>3082</v>
      </c>
      <c r="G894" s="571" t="s">
        <v>19</v>
      </c>
      <c r="H894" s="571" t="s">
        <v>35</v>
      </c>
      <c r="I894" s="571" t="s">
        <v>199</v>
      </c>
      <c r="J894" s="571">
        <v>44263</v>
      </c>
      <c r="K894" s="571" t="s">
        <v>3817</v>
      </c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70"/>
      <c r="AH894" s="570"/>
      <c r="AI894" s="570"/>
      <c r="AJ894" s="570"/>
      <c r="AK894" s="570"/>
      <c r="AL894" s="570"/>
      <c r="AM894" s="570"/>
      <c r="AN894" s="570"/>
      <c r="AO894" s="570"/>
      <c r="AP894" s="570"/>
      <c r="AQ894" s="570"/>
      <c r="AR894" s="570"/>
      <c r="AS894" s="570"/>
      <c r="AT894" s="570"/>
      <c r="AU894" s="570"/>
    </row>
    <row r="895" spans="1:47" ht="15.75" customHeight="1">
      <c r="A895" s="571">
        <v>44677</v>
      </c>
      <c r="B895" s="572" t="s">
        <v>6725</v>
      </c>
      <c r="C895" s="530" t="s">
        <v>2929</v>
      </c>
      <c r="D895" s="561" t="s">
        <v>6343</v>
      </c>
      <c r="E895" s="573">
        <v>62000</v>
      </c>
      <c r="F895" s="561" t="s">
        <v>3284</v>
      </c>
      <c r="G895" s="561" t="s">
        <v>2997</v>
      </c>
      <c r="H895" s="561" t="s">
        <v>20</v>
      </c>
      <c r="I895" s="571" t="s">
        <v>2997</v>
      </c>
      <c r="J895" s="571">
        <v>43439</v>
      </c>
      <c r="K895" s="561" t="s">
        <v>3817</v>
      </c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70"/>
      <c r="AH895" s="570"/>
      <c r="AI895" s="570"/>
      <c r="AJ895" s="570"/>
      <c r="AK895" s="570"/>
      <c r="AL895" s="570"/>
      <c r="AM895" s="570"/>
      <c r="AN895" s="570"/>
      <c r="AO895" s="570"/>
      <c r="AP895" s="570"/>
      <c r="AQ895" s="570"/>
      <c r="AR895" s="570"/>
      <c r="AS895" s="570"/>
      <c r="AT895" s="570"/>
      <c r="AU895" s="570"/>
    </row>
    <row r="896" spans="1:47" ht="15.75" customHeight="1">
      <c r="A896" s="571">
        <v>44677</v>
      </c>
      <c r="B896" s="572" t="s">
        <v>3636</v>
      </c>
      <c r="C896" s="530" t="s">
        <v>3613</v>
      </c>
      <c r="D896" s="561" t="s">
        <v>6343</v>
      </c>
      <c r="E896" s="573">
        <v>3000</v>
      </c>
      <c r="F896" s="530" t="s">
        <v>3635</v>
      </c>
      <c r="G896" s="561" t="s">
        <v>19</v>
      </c>
      <c r="H896" s="561" t="s">
        <v>19</v>
      </c>
      <c r="I896" s="571" t="s">
        <v>6246</v>
      </c>
      <c r="J896" s="571">
        <v>44062</v>
      </c>
      <c r="K896" s="561" t="s">
        <v>3803</v>
      </c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70"/>
      <c r="AH896" s="570"/>
      <c r="AI896" s="570"/>
      <c r="AJ896" s="570"/>
      <c r="AK896" s="570"/>
      <c r="AL896" s="570"/>
      <c r="AM896" s="570"/>
      <c r="AN896" s="570"/>
      <c r="AO896" s="570"/>
      <c r="AP896" s="570"/>
      <c r="AQ896" s="570"/>
      <c r="AR896" s="570"/>
      <c r="AS896" s="570"/>
      <c r="AT896" s="570"/>
      <c r="AU896" s="570"/>
    </row>
    <row r="897" spans="1:47" ht="15.75" customHeight="1">
      <c r="A897" s="571">
        <v>44677</v>
      </c>
      <c r="B897" s="582" t="s">
        <v>6726</v>
      </c>
      <c r="C897" s="623" t="s">
        <v>3793</v>
      </c>
      <c r="D897" s="624" t="s">
        <v>921</v>
      </c>
      <c r="E897" s="625">
        <v>118629.88</v>
      </c>
      <c r="F897" s="623" t="s">
        <v>4378</v>
      </c>
      <c r="G897" s="624" t="s">
        <v>19</v>
      </c>
      <c r="H897" s="624" t="s">
        <v>20</v>
      </c>
      <c r="I897" s="624" t="s">
        <v>3689</v>
      </c>
      <c r="J897" s="626">
        <v>44405</v>
      </c>
      <c r="K897" s="624" t="s">
        <v>3817</v>
      </c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70"/>
      <c r="AH897" s="570"/>
      <c r="AI897" s="570"/>
      <c r="AJ897" s="570"/>
      <c r="AK897" s="570"/>
      <c r="AL897" s="570"/>
      <c r="AM897" s="570"/>
      <c r="AN897" s="570"/>
      <c r="AO897" s="570"/>
      <c r="AP897" s="570"/>
      <c r="AQ897" s="570"/>
      <c r="AR897" s="570"/>
      <c r="AS897" s="570"/>
      <c r="AT897" s="570"/>
      <c r="AU897" s="570"/>
    </row>
    <row r="898" spans="1:47" ht="15.75" customHeight="1">
      <c r="A898" s="571">
        <v>44677</v>
      </c>
      <c r="B898" s="572" t="s">
        <v>6487</v>
      </c>
      <c r="C898" s="530" t="s">
        <v>2929</v>
      </c>
      <c r="D898" s="561" t="s">
        <v>6343</v>
      </c>
      <c r="E898" s="573">
        <v>31000</v>
      </c>
      <c r="F898" s="530" t="s">
        <v>1318</v>
      </c>
      <c r="G898" s="561" t="s">
        <v>19</v>
      </c>
      <c r="H898" s="561" t="s">
        <v>35</v>
      </c>
      <c r="I898" s="561" t="s">
        <v>199</v>
      </c>
      <c r="J898" s="571">
        <v>44319</v>
      </c>
      <c r="K898" s="561" t="s">
        <v>3803</v>
      </c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70"/>
      <c r="AH898" s="570"/>
      <c r="AI898" s="570"/>
      <c r="AJ898" s="570"/>
      <c r="AK898" s="570"/>
      <c r="AL898" s="570"/>
      <c r="AM898" s="570"/>
      <c r="AN898" s="570"/>
      <c r="AO898" s="570"/>
      <c r="AP898" s="570"/>
      <c r="AQ898" s="570"/>
      <c r="AR898" s="570"/>
      <c r="AS898" s="570"/>
      <c r="AT898" s="570"/>
      <c r="AU898" s="570"/>
    </row>
    <row r="899" spans="1:47" ht="15.75" customHeight="1">
      <c r="A899" s="571">
        <v>44679</v>
      </c>
      <c r="B899" s="572" t="s">
        <v>6611</v>
      </c>
      <c r="C899" s="530" t="s">
        <v>2929</v>
      </c>
      <c r="D899" s="561" t="s">
        <v>6343</v>
      </c>
      <c r="E899" s="573">
        <v>15000</v>
      </c>
      <c r="F899" s="530" t="s">
        <v>6727</v>
      </c>
      <c r="G899" s="561" t="s">
        <v>19</v>
      </c>
      <c r="H899" s="561" t="s">
        <v>35</v>
      </c>
      <c r="I899" s="561" t="s">
        <v>199</v>
      </c>
      <c r="J899" s="571">
        <v>44323</v>
      </c>
      <c r="K899" s="561" t="s">
        <v>3850</v>
      </c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70"/>
      <c r="AH899" s="570"/>
      <c r="AI899" s="570"/>
      <c r="AJ899" s="570"/>
      <c r="AK899" s="570"/>
      <c r="AL899" s="570"/>
      <c r="AM899" s="570"/>
      <c r="AN899" s="570"/>
      <c r="AO899" s="570"/>
      <c r="AP899" s="570"/>
      <c r="AQ899" s="570"/>
      <c r="AR899" s="570"/>
      <c r="AS899" s="570"/>
      <c r="AT899" s="570"/>
      <c r="AU899" s="570"/>
    </row>
    <row r="900" spans="1:47" ht="15.75" customHeight="1">
      <c r="A900" s="571">
        <v>44679</v>
      </c>
      <c r="B900" s="572" t="s">
        <v>6728</v>
      </c>
      <c r="C900" s="530" t="s">
        <v>2929</v>
      </c>
      <c r="D900" s="561" t="s">
        <v>6343</v>
      </c>
      <c r="E900" s="573">
        <v>75000</v>
      </c>
      <c r="F900" s="530" t="s">
        <v>6729</v>
      </c>
      <c r="G900" s="561" t="s">
        <v>19</v>
      </c>
      <c r="H900" s="561" t="s">
        <v>35</v>
      </c>
      <c r="I900" s="561" t="s">
        <v>2979</v>
      </c>
      <c r="J900" s="571">
        <v>44644</v>
      </c>
      <c r="K900" s="561" t="s">
        <v>3813</v>
      </c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70"/>
      <c r="AH900" s="570"/>
      <c r="AI900" s="570"/>
      <c r="AJ900" s="570"/>
      <c r="AK900" s="570"/>
      <c r="AL900" s="570"/>
      <c r="AM900" s="570"/>
      <c r="AN900" s="570"/>
      <c r="AO900" s="570"/>
      <c r="AP900" s="570"/>
      <c r="AQ900" s="570"/>
      <c r="AR900" s="570"/>
      <c r="AS900" s="570"/>
      <c r="AT900" s="570"/>
      <c r="AU900" s="570"/>
    </row>
    <row r="901" spans="1:47" ht="15.75" customHeight="1">
      <c r="A901" s="571">
        <v>44680</v>
      </c>
      <c r="B901" s="572" t="s">
        <v>6730</v>
      </c>
      <c r="C901" s="530" t="s">
        <v>2929</v>
      </c>
      <c r="D901" s="561" t="s">
        <v>6343</v>
      </c>
      <c r="E901" s="573">
        <v>31000</v>
      </c>
      <c r="F901" s="530" t="s">
        <v>6731</v>
      </c>
      <c r="G901" s="561" t="s">
        <v>19</v>
      </c>
      <c r="H901" s="561" t="s">
        <v>35</v>
      </c>
      <c r="I901" s="561" t="s">
        <v>2979</v>
      </c>
      <c r="J901" s="571">
        <v>44568</v>
      </c>
      <c r="K901" s="561" t="s">
        <v>3810</v>
      </c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70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</row>
    <row r="902" spans="1:47" ht="15.75" customHeight="1">
      <c r="A902" s="595">
        <v>44680</v>
      </c>
      <c r="B902" s="627" t="s">
        <v>6732</v>
      </c>
      <c r="C902" s="530" t="s">
        <v>3793</v>
      </c>
      <c r="D902" s="596" t="s">
        <v>956</v>
      </c>
      <c r="E902" s="597">
        <v>288923.90000000002</v>
      </c>
      <c r="F902" s="530" t="s">
        <v>6733</v>
      </c>
      <c r="G902" s="596" t="s">
        <v>19</v>
      </c>
      <c r="H902" s="596" t="s">
        <v>66</v>
      </c>
      <c r="I902" s="596" t="s">
        <v>4142</v>
      </c>
      <c r="J902" s="595">
        <v>44398</v>
      </c>
      <c r="K902" s="530" t="s">
        <v>3810</v>
      </c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70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</row>
    <row r="903" spans="1:47" ht="15.75" customHeight="1">
      <c r="A903" s="571">
        <v>44682</v>
      </c>
      <c r="B903" s="530" t="s">
        <v>6550</v>
      </c>
      <c r="C903" s="530" t="s">
        <v>2929</v>
      </c>
      <c r="D903" s="561" t="s">
        <v>956</v>
      </c>
      <c r="E903" s="573">
        <v>7399239.3600000003</v>
      </c>
      <c r="F903" s="553" t="s">
        <v>3231</v>
      </c>
      <c r="G903" s="553" t="s">
        <v>2997</v>
      </c>
      <c r="H903" s="553" t="s">
        <v>20</v>
      </c>
      <c r="I903" s="553" t="s">
        <v>2997</v>
      </c>
      <c r="J903" s="594">
        <v>44021</v>
      </c>
      <c r="K903" s="554" t="s">
        <v>3803</v>
      </c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70"/>
      <c r="AH903" s="570"/>
      <c r="AI903" s="570"/>
      <c r="AJ903" s="570"/>
      <c r="AK903" s="570"/>
      <c r="AL903" s="570"/>
      <c r="AM903" s="570"/>
      <c r="AN903" s="570"/>
      <c r="AO903" s="570"/>
      <c r="AP903" s="570"/>
      <c r="AQ903" s="570"/>
      <c r="AR903" s="570"/>
      <c r="AS903" s="570"/>
      <c r="AT903" s="570"/>
      <c r="AU903" s="570"/>
    </row>
    <row r="904" spans="1:47" ht="15.75" customHeight="1">
      <c r="A904" s="571">
        <v>44682</v>
      </c>
      <c r="B904" s="530" t="s">
        <v>6734</v>
      </c>
      <c r="C904" s="530" t="s">
        <v>2929</v>
      </c>
      <c r="D904" s="561" t="s">
        <v>956</v>
      </c>
      <c r="E904" s="573">
        <v>4668228.6100000003</v>
      </c>
      <c r="F904" s="553" t="s">
        <v>3231</v>
      </c>
      <c r="G904" s="553" t="s">
        <v>2997</v>
      </c>
      <c r="H904" s="553" t="s">
        <v>20</v>
      </c>
      <c r="I904" s="553" t="s">
        <v>2997</v>
      </c>
      <c r="J904" s="594">
        <v>44029</v>
      </c>
      <c r="K904" s="554" t="s">
        <v>3817</v>
      </c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70"/>
      <c r="AH904" s="570"/>
      <c r="AI904" s="570"/>
      <c r="AJ904" s="570"/>
      <c r="AK904" s="570"/>
      <c r="AL904" s="570"/>
      <c r="AM904" s="570"/>
      <c r="AN904" s="570"/>
      <c r="AO904" s="570"/>
      <c r="AP904" s="570"/>
      <c r="AQ904" s="570"/>
      <c r="AR904" s="570"/>
      <c r="AS904" s="570"/>
      <c r="AT904" s="570"/>
      <c r="AU904" s="570"/>
    </row>
    <row r="905" spans="1:47" ht="15.75" customHeight="1">
      <c r="A905" s="571">
        <v>44683</v>
      </c>
      <c r="B905" s="572" t="s">
        <v>6557</v>
      </c>
      <c r="C905" s="530" t="s">
        <v>3793</v>
      </c>
      <c r="D905" s="561" t="s">
        <v>956</v>
      </c>
      <c r="E905" s="573">
        <v>160249.53</v>
      </c>
      <c r="F905" s="530" t="s">
        <v>3939</v>
      </c>
      <c r="G905" s="561" t="s">
        <v>46</v>
      </c>
      <c r="H905" s="561" t="s">
        <v>20</v>
      </c>
      <c r="I905" s="561" t="s">
        <v>3640</v>
      </c>
      <c r="J905" s="571">
        <v>44362</v>
      </c>
      <c r="K905" s="561" t="s">
        <v>3813</v>
      </c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70"/>
      <c r="AH905" s="570"/>
      <c r="AI905" s="570"/>
      <c r="AJ905" s="570"/>
      <c r="AK905" s="570"/>
      <c r="AL905" s="570"/>
      <c r="AM905" s="570"/>
      <c r="AN905" s="570"/>
      <c r="AO905" s="570"/>
      <c r="AP905" s="570"/>
      <c r="AQ905" s="570"/>
      <c r="AR905" s="570"/>
      <c r="AS905" s="570"/>
      <c r="AT905" s="570"/>
      <c r="AU905" s="570"/>
    </row>
    <row r="906" spans="1:47" ht="15.75" customHeight="1">
      <c r="A906" s="571">
        <v>44683</v>
      </c>
      <c r="B906" s="572" t="s">
        <v>6735</v>
      </c>
      <c r="C906" s="530" t="s">
        <v>3793</v>
      </c>
      <c r="D906" s="561" t="s">
        <v>956</v>
      </c>
      <c r="E906" s="573">
        <v>128785.37</v>
      </c>
      <c r="F906" s="530" t="s">
        <v>6736</v>
      </c>
      <c r="G906" s="561" t="s">
        <v>19</v>
      </c>
      <c r="H906" s="561" t="s">
        <v>66</v>
      </c>
      <c r="I906" s="561" t="s">
        <v>316</v>
      </c>
      <c r="J906" s="571">
        <v>44355</v>
      </c>
      <c r="K906" s="554" t="s">
        <v>3810</v>
      </c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70"/>
      <c r="AH906" s="570"/>
      <c r="AI906" s="570"/>
      <c r="AJ906" s="570"/>
      <c r="AK906" s="570"/>
      <c r="AL906" s="570"/>
      <c r="AM906" s="570"/>
      <c r="AN906" s="570"/>
      <c r="AO906" s="570"/>
      <c r="AP906" s="570"/>
      <c r="AQ906" s="570"/>
      <c r="AR906" s="570"/>
      <c r="AS906" s="570"/>
      <c r="AT906" s="570"/>
      <c r="AU906" s="570"/>
    </row>
    <row r="907" spans="1:47" ht="15.75" customHeight="1">
      <c r="A907" s="571">
        <v>44683</v>
      </c>
      <c r="B907" s="572" t="s">
        <v>6737</v>
      </c>
      <c r="C907" s="530" t="s">
        <v>3793</v>
      </c>
      <c r="D907" s="561" t="s">
        <v>956</v>
      </c>
      <c r="E907" s="573">
        <v>158853.29</v>
      </c>
      <c r="F907" s="530" t="s">
        <v>5336</v>
      </c>
      <c r="G907" s="553" t="s">
        <v>19</v>
      </c>
      <c r="H907" s="553" t="s">
        <v>66</v>
      </c>
      <c r="I907" s="553" t="s">
        <v>316</v>
      </c>
      <c r="J907" s="594">
        <v>44229</v>
      </c>
      <c r="K907" s="554" t="s">
        <v>3797</v>
      </c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70"/>
      <c r="AH907" s="570"/>
      <c r="AI907" s="570"/>
      <c r="AJ907" s="570"/>
      <c r="AK907" s="570"/>
      <c r="AL907" s="570"/>
      <c r="AM907" s="570"/>
      <c r="AN907" s="570"/>
      <c r="AO907" s="570"/>
      <c r="AP907" s="570"/>
      <c r="AQ907" s="570"/>
      <c r="AR907" s="570"/>
      <c r="AS907" s="570"/>
      <c r="AT907" s="570"/>
      <c r="AU907" s="570"/>
    </row>
    <row r="908" spans="1:47" ht="15.75" customHeight="1">
      <c r="A908" s="571">
        <v>44683</v>
      </c>
      <c r="B908" s="572" t="s">
        <v>6708</v>
      </c>
      <c r="C908" s="530" t="s">
        <v>3793</v>
      </c>
      <c r="D908" s="561" t="s">
        <v>6343</v>
      </c>
      <c r="E908" s="573">
        <v>11329.01</v>
      </c>
      <c r="F908" s="530" t="s">
        <v>2055</v>
      </c>
      <c r="G908" s="553" t="s">
        <v>19</v>
      </c>
      <c r="H908" s="553" t="s">
        <v>66</v>
      </c>
      <c r="I908" s="553" t="s">
        <v>144</v>
      </c>
      <c r="J908" s="594">
        <v>44614</v>
      </c>
      <c r="K908" s="554" t="s">
        <v>3803</v>
      </c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70"/>
      <c r="AH908" s="570"/>
      <c r="AI908" s="570"/>
      <c r="AJ908" s="570"/>
      <c r="AK908" s="570"/>
      <c r="AL908" s="570"/>
      <c r="AM908" s="570"/>
      <c r="AN908" s="570"/>
      <c r="AO908" s="570"/>
      <c r="AP908" s="570"/>
      <c r="AQ908" s="570"/>
      <c r="AR908" s="570"/>
      <c r="AS908" s="570"/>
      <c r="AT908" s="570"/>
      <c r="AU908" s="570"/>
    </row>
    <row r="909" spans="1:47" ht="15.75" customHeight="1">
      <c r="A909" s="571">
        <v>44683</v>
      </c>
      <c r="B909" s="572">
        <v>350690</v>
      </c>
      <c r="C909" s="530" t="s">
        <v>2929</v>
      </c>
      <c r="D909" s="561" t="s">
        <v>6343</v>
      </c>
      <c r="E909" s="573">
        <v>100000</v>
      </c>
      <c r="F909" s="530" t="s">
        <v>3051</v>
      </c>
      <c r="G909" s="553" t="s">
        <v>19</v>
      </c>
      <c r="H909" s="553" t="s">
        <v>35</v>
      </c>
      <c r="I909" s="553" t="s">
        <v>250</v>
      </c>
      <c r="J909" s="594">
        <v>44438</v>
      </c>
      <c r="K909" s="554" t="s">
        <v>3803</v>
      </c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70"/>
      <c r="AH909" s="570"/>
      <c r="AI909" s="570"/>
      <c r="AJ909" s="570"/>
      <c r="AK909" s="570"/>
      <c r="AL909" s="570"/>
      <c r="AM909" s="570"/>
      <c r="AN909" s="570"/>
      <c r="AO909" s="570"/>
      <c r="AP909" s="570"/>
      <c r="AQ909" s="570"/>
      <c r="AR909" s="570"/>
      <c r="AS909" s="570"/>
      <c r="AT909" s="570"/>
      <c r="AU909" s="570"/>
    </row>
    <row r="910" spans="1:47" ht="15.75" customHeight="1">
      <c r="A910" s="571">
        <v>44683</v>
      </c>
      <c r="B910" s="572" t="s">
        <v>6410</v>
      </c>
      <c r="C910" s="530" t="s">
        <v>2929</v>
      </c>
      <c r="D910" s="561" t="s">
        <v>6343</v>
      </c>
      <c r="E910" s="573">
        <v>40000</v>
      </c>
      <c r="F910" s="530" t="s">
        <v>6695</v>
      </c>
      <c r="G910" s="553" t="s">
        <v>19</v>
      </c>
      <c r="H910" s="553" t="s">
        <v>35</v>
      </c>
      <c r="I910" s="553" t="s">
        <v>199</v>
      </c>
      <c r="J910" s="594">
        <v>44321</v>
      </c>
      <c r="K910" s="554" t="s">
        <v>3803</v>
      </c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70"/>
      <c r="AH910" s="570"/>
      <c r="AI910" s="570"/>
      <c r="AJ910" s="570"/>
      <c r="AK910" s="570"/>
      <c r="AL910" s="570"/>
      <c r="AM910" s="570"/>
      <c r="AN910" s="570"/>
      <c r="AO910" s="570"/>
      <c r="AP910" s="570"/>
      <c r="AQ910" s="570"/>
      <c r="AR910" s="570"/>
      <c r="AS910" s="570"/>
      <c r="AT910" s="570"/>
      <c r="AU910" s="570"/>
    </row>
    <row r="911" spans="1:47" ht="15.75" customHeight="1">
      <c r="A911" s="571">
        <v>44683</v>
      </c>
      <c r="B911" s="572" t="s">
        <v>6670</v>
      </c>
      <c r="C911" s="530" t="s">
        <v>2929</v>
      </c>
      <c r="D911" s="561" t="s">
        <v>6343</v>
      </c>
      <c r="E911" s="573">
        <v>25000</v>
      </c>
      <c r="F911" s="530" t="s">
        <v>6697</v>
      </c>
      <c r="G911" s="553" t="s">
        <v>19</v>
      </c>
      <c r="H911" s="553" t="s">
        <v>35</v>
      </c>
      <c r="I911" s="553" t="s">
        <v>199</v>
      </c>
      <c r="J911" s="594">
        <v>44263</v>
      </c>
      <c r="K911" s="554" t="s">
        <v>3813</v>
      </c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70"/>
      <c r="AH911" s="570"/>
      <c r="AI911" s="570"/>
      <c r="AJ911" s="570"/>
      <c r="AK911" s="570"/>
      <c r="AL911" s="570"/>
      <c r="AM911" s="570"/>
      <c r="AN911" s="570"/>
      <c r="AO911" s="570"/>
      <c r="AP911" s="570"/>
      <c r="AQ911" s="570"/>
      <c r="AR911" s="570"/>
      <c r="AS911" s="570"/>
      <c r="AT911" s="570"/>
      <c r="AU911" s="570"/>
    </row>
    <row r="912" spans="1:47" ht="15.75" customHeight="1">
      <c r="A912" s="571">
        <v>44683</v>
      </c>
      <c r="B912" s="572" t="s">
        <v>6685</v>
      </c>
      <c r="C912" s="530" t="s">
        <v>2929</v>
      </c>
      <c r="D912" s="561" t="s">
        <v>6343</v>
      </c>
      <c r="E912" s="573">
        <v>14000</v>
      </c>
      <c r="F912" s="530" t="s">
        <v>3235</v>
      </c>
      <c r="G912" s="553" t="s">
        <v>2931</v>
      </c>
      <c r="H912" s="553" t="s">
        <v>20</v>
      </c>
      <c r="I912" s="553" t="s">
        <v>2932</v>
      </c>
      <c r="J912" s="594">
        <v>43605</v>
      </c>
      <c r="K912" s="554" t="s">
        <v>3817</v>
      </c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70"/>
      <c r="AH912" s="570"/>
      <c r="AI912" s="570"/>
      <c r="AJ912" s="570"/>
      <c r="AK912" s="570"/>
      <c r="AL912" s="570"/>
      <c r="AM912" s="570"/>
      <c r="AN912" s="570"/>
      <c r="AO912" s="570"/>
      <c r="AP912" s="570"/>
      <c r="AQ912" s="570"/>
      <c r="AR912" s="570"/>
      <c r="AS912" s="570"/>
      <c r="AT912" s="570"/>
      <c r="AU912" s="570"/>
    </row>
    <row r="913" spans="1:47" ht="15.75" customHeight="1">
      <c r="A913" s="571">
        <v>44684</v>
      </c>
      <c r="B913" s="572" t="s">
        <v>6738</v>
      </c>
      <c r="C913" s="530" t="s">
        <v>3793</v>
      </c>
      <c r="D913" s="561" t="s">
        <v>956</v>
      </c>
      <c r="E913" s="573">
        <v>398221.67</v>
      </c>
      <c r="F913" s="530" t="s">
        <v>4393</v>
      </c>
      <c r="G913" s="553" t="s">
        <v>19</v>
      </c>
      <c r="H913" s="553" t="s">
        <v>66</v>
      </c>
      <c r="I913" s="553" t="s">
        <v>4142</v>
      </c>
      <c r="J913" s="594">
        <v>44454</v>
      </c>
      <c r="K913" s="554" t="s">
        <v>3810</v>
      </c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70"/>
      <c r="AH913" s="570"/>
      <c r="AI913" s="570"/>
      <c r="AJ913" s="570"/>
      <c r="AK913" s="570"/>
      <c r="AL913" s="570"/>
      <c r="AM913" s="570"/>
      <c r="AN913" s="570"/>
      <c r="AO913" s="570"/>
      <c r="AP913" s="570"/>
      <c r="AQ913" s="570"/>
      <c r="AR913" s="570"/>
      <c r="AS913" s="570"/>
      <c r="AT913" s="570"/>
      <c r="AU913" s="570"/>
    </row>
    <row r="914" spans="1:47" ht="15.75" customHeight="1">
      <c r="A914" s="571">
        <v>44685</v>
      </c>
      <c r="B914" s="553">
        <v>4740849</v>
      </c>
      <c r="C914" s="530" t="s">
        <v>3793</v>
      </c>
      <c r="D914" s="561" t="s">
        <v>921</v>
      </c>
      <c r="E914" s="573">
        <v>83984.540000000008</v>
      </c>
      <c r="F914" s="530" t="s">
        <v>5111</v>
      </c>
      <c r="G914" s="553" t="s">
        <v>46</v>
      </c>
      <c r="H914" s="553" t="s">
        <v>20</v>
      </c>
      <c r="I914" s="553" t="s">
        <v>4136</v>
      </c>
      <c r="J914" s="594">
        <v>44320</v>
      </c>
      <c r="K914" s="554" t="s">
        <v>3797</v>
      </c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70"/>
      <c r="AH914" s="570"/>
      <c r="AI914" s="570"/>
      <c r="AJ914" s="570"/>
      <c r="AK914" s="570"/>
      <c r="AL914" s="570"/>
      <c r="AM914" s="570"/>
      <c r="AN914" s="570"/>
      <c r="AO914" s="570"/>
      <c r="AP914" s="570"/>
      <c r="AQ914" s="570"/>
      <c r="AR914" s="570"/>
      <c r="AS914" s="570"/>
      <c r="AT914" s="570"/>
      <c r="AU914" s="570"/>
    </row>
    <row r="915" spans="1:47" ht="15.75" customHeight="1">
      <c r="A915" s="571">
        <v>44685</v>
      </c>
      <c r="B915" s="553" t="s">
        <v>6739</v>
      </c>
      <c r="C915" s="530" t="s">
        <v>3793</v>
      </c>
      <c r="D915" s="561" t="s">
        <v>6343</v>
      </c>
      <c r="E915" s="573">
        <v>60000</v>
      </c>
      <c r="F915" s="530" t="s">
        <v>6740</v>
      </c>
      <c r="G915" s="553" t="s">
        <v>19</v>
      </c>
      <c r="H915" s="553" t="s">
        <v>20</v>
      </c>
      <c r="I915" s="553" t="s">
        <v>3080</v>
      </c>
      <c r="J915" s="594">
        <v>44294</v>
      </c>
      <c r="K915" s="554" t="s">
        <v>4502</v>
      </c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70"/>
      <c r="AH915" s="570"/>
      <c r="AI915" s="570"/>
      <c r="AJ915" s="570"/>
      <c r="AK915" s="570"/>
      <c r="AL915" s="570"/>
      <c r="AM915" s="570"/>
      <c r="AN915" s="570"/>
      <c r="AO915" s="570"/>
      <c r="AP915" s="570"/>
      <c r="AQ915" s="570"/>
      <c r="AR915" s="570"/>
      <c r="AS915" s="570"/>
      <c r="AT915" s="570"/>
      <c r="AU915" s="570"/>
    </row>
    <row r="916" spans="1:47" ht="15.75" customHeight="1">
      <c r="A916" s="571">
        <v>44685</v>
      </c>
      <c r="B916" s="553">
        <v>6121090</v>
      </c>
      <c r="C916" s="530" t="s">
        <v>3793</v>
      </c>
      <c r="D916" s="561" t="s">
        <v>956</v>
      </c>
      <c r="E916" s="573">
        <v>46583.9</v>
      </c>
      <c r="F916" s="530" t="s">
        <v>4279</v>
      </c>
      <c r="G916" s="553" t="s">
        <v>19</v>
      </c>
      <c r="H916" s="553" t="s">
        <v>66</v>
      </c>
      <c r="I916" s="553" t="s">
        <v>316</v>
      </c>
      <c r="J916" s="594">
        <v>44421</v>
      </c>
      <c r="K916" s="554" t="s">
        <v>3797</v>
      </c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70"/>
      <c r="AH916" s="570"/>
      <c r="AI916" s="570"/>
      <c r="AJ916" s="570"/>
      <c r="AK916" s="570"/>
      <c r="AL916" s="570"/>
      <c r="AM916" s="570"/>
      <c r="AN916" s="570"/>
      <c r="AO916" s="570"/>
      <c r="AP916" s="570"/>
      <c r="AQ916" s="570"/>
      <c r="AR916" s="570"/>
      <c r="AS916" s="570"/>
      <c r="AT916" s="570"/>
      <c r="AU916" s="570"/>
    </row>
    <row r="917" spans="1:47" ht="15.75" customHeight="1">
      <c r="A917" s="571">
        <v>44686</v>
      </c>
      <c r="B917" s="553">
        <v>3600186</v>
      </c>
      <c r="C917" s="530" t="s">
        <v>3793</v>
      </c>
      <c r="D917" s="561" t="s">
        <v>956</v>
      </c>
      <c r="E917" s="573">
        <v>1122976.82</v>
      </c>
      <c r="F917" s="530" t="s">
        <v>5295</v>
      </c>
      <c r="G917" s="553" t="s">
        <v>19</v>
      </c>
      <c r="H917" s="553" t="s">
        <v>66</v>
      </c>
      <c r="I917" s="553" t="s">
        <v>4142</v>
      </c>
      <c r="J917" s="594">
        <v>44454</v>
      </c>
      <c r="K917" s="554" t="s">
        <v>3810</v>
      </c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70"/>
      <c r="AH917" s="570"/>
      <c r="AI917" s="570"/>
      <c r="AJ917" s="570"/>
      <c r="AK917" s="570"/>
      <c r="AL917" s="570"/>
      <c r="AM917" s="570"/>
      <c r="AN917" s="570"/>
      <c r="AO917" s="570"/>
      <c r="AP917" s="570"/>
      <c r="AQ917" s="570"/>
      <c r="AR917" s="570"/>
      <c r="AS917" s="570"/>
      <c r="AT917" s="570"/>
      <c r="AU917" s="570"/>
    </row>
    <row r="918" spans="1:47" ht="15.75" customHeight="1">
      <c r="A918" s="571">
        <v>44686</v>
      </c>
      <c r="B918" s="553" t="s">
        <v>6741</v>
      </c>
      <c r="C918" s="530" t="s">
        <v>3793</v>
      </c>
      <c r="D918" s="561" t="s">
        <v>6343</v>
      </c>
      <c r="E918" s="573">
        <v>50000.87</v>
      </c>
      <c r="F918" s="530" t="s">
        <v>1887</v>
      </c>
      <c r="G918" s="553" t="s">
        <v>19</v>
      </c>
      <c r="H918" s="553" t="s">
        <v>66</v>
      </c>
      <c r="I918" s="553" t="s">
        <v>316</v>
      </c>
      <c r="J918" s="594">
        <v>44379</v>
      </c>
      <c r="K918" s="554" t="s">
        <v>3797</v>
      </c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70"/>
      <c r="AH918" s="570"/>
      <c r="AI918" s="570"/>
      <c r="AJ918" s="570"/>
      <c r="AK918" s="570"/>
      <c r="AL918" s="570"/>
      <c r="AM918" s="570"/>
      <c r="AN918" s="570"/>
      <c r="AO918" s="570"/>
      <c r="AP918" s="570"/>
      <c r="AQ918" s="570"/>
      <c r="AR918" s="570"/>
      <c r="AS918" s="570"/>
      <c r="AT918" s="570"/>
      <c r="AU918" s="570"/>
    </row>
    <row r="919" spans="1:47" ht="15.75" customHeight="1">
      <c r="A919" s="571">
        <v>44686</v>
      </c>
      <c r="B919" s="553">
        <v>4920156</v>
      </c>
      <c r="C919" s="530" t="s">
        <v>3793</v>
      </c>
      <c r="D919" s="561" t="s">
        <v>6343</v>
      </c>
      <c r="E919" s="573">
        <v>10000</v>
      </c>
      <c r="F919" s="530" t="s">
        <v>4381</v>
      </c>
      <c r="G919" s="553" t="s">
        <v>46</v>
      </c>
      <c r="H919" s="553" t="s">
        <v>20</v>
      </c>
      <c r="I919" s="553" t="s">
        <v>3870</v>
      </c>
      <c r="J919" s="594">
        <v>44263</v>
      </c>
      <c r="K919" s="554" t="s">
        <v>3803</v>
      </c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70"/>
      <c r="AH919" s="570"/>
      <c r="AI919" s="570"/>
      <c r="AJ919" s="570"/>
      <c r="AK919" s="570"/>
      <c r="AL919" s="570"/>
      <c r="AM919" s="570"/>
      <c r="AN919" s="570"/>
      <c r="AO919" s="570"/>
      <c r="AP919" s="570"/>
      <c r="AQ919" s="570"/>
      <c r="AR919" s="570"/>
      <c r="AS919" s="570"/>
      <c r="AT919" s="570"/>
      <c r="AU919" s="570"/>
    </row>
    <row r="920" spans="1:47" ht="15.75" customHeight="1">
      <c r="A920" s="571">
        <v>44687</v>
      </c>
      <c r="B920" s="530" t="s">
        <v>6522</v>
      </c>
      <c r="C920" s="530" t="s">
        <v>2929</v>
      </c>
      <c r="D920" s="561" t="s">
        <v>6343</v>
      </c>
      <c r="E920" s="573">
        <v>10000</v>
      </c>
      <c r="F920" s="553" t="s">
        <v>930</v>
      </c>
      <c r="G920" s="553" t="s">
        <v>19</v>
      </c>
      <c r="H920" s="553" t="s">
        <v>35</v>
      </c>
      <c r="I920" s="553" t="s">
        <v>250</v>
      </c>
      <c r="J920" s="594">
        <v>44328</v>
      </c>
      <c r="K920" s="554" t="s">
        <v>3797</v>
      </c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70"/>
      <c r="AH920" s="570"/>
      <c r="AI920" s="570"/>
      <c r="AJ920" s="570"/>
      <c r="AK920" s="570"/>
      <c r="AL920" s="570"/>
      <c r="AM920" s="570"/>
      <c r="AN920" s="570"/>
      <c r="AO920" s="570"/>
      <c r="AP920" s="570"/>
      <c r="AQ920" s="570"/>
      <c r="AR920" s="570"/>
      <c r="AS920" s="570"/>
      <c r="AT920" s="570"/>
      <c r="AU920" s="570"/>
    </row>
    <row r="921" spans="1:47" ht="15.75" customHeight="1">
      <c r="A921" s="571">
        <v>44687</v>
      </c>
      <c r="B921" s="530" t="s">
        <v>6611</v>
      </c>
      <c r="C921" s="530" t="s">
        <v>2929</v>
      </c>
      <c r="D921" s="561" t="s">
        <v>6343</v>
      </c>
      <c r="E921" s="573">
        <v>100000</v>
      </c>
      <c r="F921" s="553" t="s">
        <v>3346</v>
      </c>
      <c r="G921" s="553" t="s">
        <v>19</v>
      </c>
      <c r="H921" s="553" t="s">
        <v>35</v>
      </c>
      <c r="I921" s="553" t="s">
        <v>199</v>
      </c>
      <c r="J921" s="594">
        <v>44323</v>
      </c>
      <c r="K921" s="554" t="s">
        <v>3850</v>
      </c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70"/>
      <c r="AH921" s="570"/>
      <c r="AI921" s="570"/>
      <c r="AJ921" s="570"/>
      <c r="AK921" s="570"/>
      <c r="AL921" s="570"/>
      <c r="AM921" s="570"/>
      <c r="AN921" s="570"/>
      <c r="AO921" s="570"/>
      <c r="AP921" s="570"/>
      <c r="AQ921" s="570"/>
      <c r="AR921" s="570"/>
      <c r="AS921" s="570"/>
      <c r="AT921" s="570"/>
      <c r="AU921" s="570"/>
    </row>
    <row r="922" spans="1:47" ht="15.75" customHeight="1">
      <c r="A922" s="571">
        <v>44687</v>
      </c>
      <c r="B922" s="553">
        <v>4862815</v>
      </c>
      <c r="C922" s="530" t="s">
        <v>3793</v>
      </c>
      <c r="D922" s="561" t="s">
        <v>6343</v>
      </c>
      <c r="E922" s="573">
        <v>70000</v>
      </c>
      <c r="F922" s="530" t="s">
        <v>6742</v>
      </c>
      <c r="G922" s="553" t="s">
        <v>19</v>
      </c>
      <c r="H922" s="553" t="s">
        <v>66</v>
      </c>
      <c r="I922" s="553" t="s">
        <v>316</v>
      </c>
      <c r="J922" s="594">
        <v>44251</v>
      </c>
      <c r="K922" s="554" t="s">
        <v>3817</v>
      </c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70"/>
      <c r="AH922" s="570"/>
      <c r="AI922" s="570"/>
      <c r="AJ922" s="570"/>
      <c r="AK922" s="570"/>
      <c r="AL922" s="570"/>
      <c r="AM922" s="570"/>
      <c r="AN922" s="570"/>
      <c r="AO922" s="570"/>
      <c r="AP922" s="570"/>
      <c r="AQ922" s="570"/>
      <c r="AR922" s="570"/>
      <c r="AS922" s="570"/>
      <c r="AT922" s="570"/>
      <c r="AU922" s="570"/>
    </row>
    <row r="923" spans="1:47" ht="15.75" customHeight="1">
      <c r="A923" s="571">
        <v>44691</v>
      </c>
      <c r="B923" s="553">
        <v>4345500</v>
      </c>
      <c r="C923" s="530" t="s">
        <v>2929</v>
      </c>
      <c r="D923" s="561" t="s">
        <v>6343</v>
      </c>
      <c r="E923" s="573">
        <v>35000</v>
      </c>
      <c r="F923" s="530" t="s">
        <v>3198</v>
      </c>
      <c r="G923" s="553" t="s">
        <v>2931</v>
      </c>
      <c r="H923" s="553" t="s">
        <v>20</v>
      </c>
      <c r="I923" s="553" t="s">
        <v>2932</v>
      </c>
      <c r="J923" s="594">
        <v>43703</v>
      </c>
      <c r="K923" s="554" t="s">
        <v>4196</v>
      </c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70"/>
      <c r="AH923" s="570"/>
      <c r="AI923" s="570"/>
      <c r="AJ923" s="570"/>
      <c r="AK923" s="570"/>
      <c r="AL923" s="570"/>
      <c r="AM923" s="570"/>
      <c r="AN923" s="570"/>
      <c r="AO923" s="570"/>
      <c r="AP923" s="570"/>
      <c r="AQ923" s="570"/>
      <c r="AR923" s="570"/>
      <c r="AS923" s="570"/>
      <c r="AT923" s="570"/>
      <c r="AU923" s="570"/>
    </row>
    <row r="924" spans="1:47" ht="15.75" customHeight="1">
      <c r="A924" s="571">
        <v>44691</v>
      </c>
      <c r="B924" s="530">
        <v>3952119</v>
      </c>
      <c r="C924" s="530" t="s">
        <v>3793</v>
      </c>
      <c r="D924" s="561" t="s">
        <v>6343</v>
      </c>
      <c r="E924" s="573">
        <v>7000</v>
      </c>
      <c r="F924" s="553" t="s">
        <v>236</v>
      </c>
      <c r="G924" s="553" t="s">
        <v>19</v>
      </c>
      <c r="H924" s="553" t="s">
        <v>20</v>
      </c>
      <c r="I924" s="553" t="s">
        <v>6330</v>
      </c>
      <c r="J924" s="594">
        <v>44335</v>
      </c>
      <c r="K924" s="554" t="s">
        <v>3850</v>
      </c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70"/>
      <c r="AH924" s="570"/>
      <c r="AI924" s="570"/>
      <c r="AJ924" s="570"/>
      <c r="AK924" s="570"/>
      <c r="AL924" s="570"/>
      <c r="AM924" s="570"/>
      <c r="AN924" s="570"/>
      <c r="AO924" s="570"/>
      <c r="AP924" s="570"/>
      <c r="AQ924" s="570"/>
      <c r="AR924" s="570"/>
      <c r="AS924" s="570"/>
      <c r="AT924" s="570"/>
      <c r="AU924" s="570"/>
    </row>
    <row r="925" spans="1:47" ht="15.75" customHeight="1">
      <c r="A925" s="571">
        <v>44691</v>
      </c>
      <c r="B925" s="530">
        <v>5681841</v>
      </c>
      <c r="C925" s="530" t="s">
        <v>3793</v>
      </c>
      <c r="D925" s="561" t="s">
        <v>6343</v>
      </c>
      <c r="E925" s="573">
        <v>50000</v>
      </c>
      <c r="F925" s="553" t="s">
        <v>5259</v>
      </c>
      <c r="G925" s="553" t="s">
        <v>19</v>
      </c>
      <c r="H925" s="561" t="s">
        <v>66</v>
      </c>
      <c r="I925" s="561" t="s">
        <v>67</v>
      </c>
      <c r="J925" s="571">
        <v>44469</v>
      </c>
      <c r="K925" s="554" t="s">
        <v>3813</v>
      </c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70"/>
      <c r="AH925" s="570"/>
      <c r="AI925" s="570"/>
      <c r="AJ925" s="570"/>
      <c r="AK925" s="570"/>
      <c r="AL925" s="570"/>
      <c r="AM925" s="570"/>
      <c r="AN925" s="570"/>
      <c r="AO925" s="570"/>
      <c r="AP925" s="570"/>
      <c r="AQ925" s="570"/>
      <c r="AR925" s="570"/>
      <c r="AS925" s="570"/>
      <c r="AT925" s="570"/>
      <c r="AU925" s="570"/>
    </row>
    <row r="926" spans="1:47" ht="15.75" customHeight="1">
      <c r="A926" s="571">
        <v>44691</v>
      </c>
      <c r="B926" s="530">
        <v>322629</v>
      </c>
      <c r="C926" s="530" t="s">
        <v>2929</v>
      </c>
      <c r="D926" s="561" t="s">
        <v>6343</v>
      </c>
      <c r="E926" s="573">
        <v>520000</v>
      </c>
      <c r="F926" s="553" t="s">
        <v>407</v>
      </c>
      <c r="G926" s="553" t="s">
        <v>19</v>
      </c>
      <c r="H926" s="561" t="s">
        <v>35</v>
      </c>
      <c r="I926" s="561" t="s">
        <v>199</v>
      </c>
      <c r="J926" s="571">
        <v>44267</v>
      </c>
      <c r="K926" s="554" t="s">
        <v>3803</v>
      </c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70"/>
      <c r="AH926" s="570"/>
      <c r="AI926" s="570"/>
      <c r="AJ926" s="570"/>
      <c r="AK926" s="570"/>
      <c r="AL926" s="570"/>
      <c r="AM926" s="570"/>
      <c r="AN926" s="570"/>
      <c r="AO926" s="570"/>
      <c r="AP926" s="570"/>
      <c r="AQ926" s="570"/>
      <c r="AR926" s="570"/>
      <c r="AS926" s="570"/>
      <c r="AT926" s="570"/>
      <c r="AU926" s="570"/>
    </row>
    <row r="927" spans="1:47" ht="15.75" customHeight="1">
      <c r="A927" s="571">
        <v>44691</v>
      </c>
      <c r="B927" s="530" t="s">
        <v>6521</v>
      </c>
      <c r="C927" s="530" t="s">
        <v>2929</v>
      </c>
      <c r="D927" s="561" t="s">
        <v>6343</v>
      </c>
      <c r="E927" s="573">
        <v>30995.22</v>
      </c>
      <c r="F927" s="553" t="s">
        <v>736</v>
      </c>
      <c r="G927" s="553" t="s">
        <v>19</v>
      </c>
      <c r="H927" s="553" t="s">
        <v>35</v>
      </c>
      <c r="I927" s="553" t="s">
        <v>199</v>
      </c>
      <c r="J927" s="594">
        <v>44280</v>
      </c>
      <c r="K927" s="554" t="s">
        <v>3803</v>
      </c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70"/>
      <c r="AH927" s="570"/>
      <c r="AI927" s="570"/>
      <c r="AJ927" s="570"/>
      <c r="AK927" s="570"/>
      <c r="AL927" s="570"/>
      <c r="AM927" s="570"/>
      <c r="AN927" s="570"/>
      <c r="AO927" s="570"/>
      <c r="AP927" s="570"/>
      <c r="AQ927" s="570"/>
      <c r="AR927" s="570"/>
      <c r="AS927" s="570"/>
      <c r="AT927" s="570"/>
      <c r="AU927" s="570"/>
    </row>
    <row r="928" spans="1:47" ht="15.75" customHeight="1">
      <c r="A928" s="571">
        <v>44692</v>
      </c>
      <c r="B928" s="530">
        <v>461432</v>
      </c>
      <c r="C928" s="530" t="s">
        <v>2929</v>
      </c>
      <c r="D928" s="561" t="s">
        <v>6343</v>
      </c>
      <c r="E928" s="573">
        <v>89300</v>
      </c>
      <c r="F928" s="553" t="s">
        <v>3571</v>
      </c>
      <c r="G928" s="553" t="s">
        <v>19</v>
      </c>
      <c r="H928" s="561" t="s">
        <v>35</v>
      </c>
      <c r="I928" s="561" t="s">
        <v>250</v>
      </c>
      <c r="J928" s="571">
        <v>44319</v>
      </c>
      <c r="K928" s="554" t="s">
        <v>3817</v>
      </c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70"/>
      <c r="AH928" s="570"/>
      <c r="AI928" s="570"/>
      <c r="AJ928" s="570"/>
      <c r="AK928" s="570"/>
      <c r="AL928" s="570"/>
      <c r="AM928" s="570"/>
      <c r="AN928" s="570"/>
      <c r="AO928" s="570"/>
      <c r="AP928" s="570"/>
      <c r="AQ928" s="570"/>
      <c r="AR928" s="570"/>
      <c r="AS928" s="570"/>
      <c r="AT928" s="570"/>
      <c r="AU928" s="570"/>
    </row>
    <row r="929" spans="1:47" ht="15.75" customHeight="1">
      <c r="A929" s="571">
        <v>44692</v>
      </c>
      <c r="B929" s="572" t="s">
        <v>6665</v>
      </c>
      <c r="C929" s="530" t="s">
        <v>3793</v>
      </c>
      <c r="D929" s="561" t="s">
        <v>6343</v>
      </c>
      <c r="E929" s="573">
        <v>30000</v>
      </c>
      <c r="F929" s="561" t="s">
        <v>1741</v>
      </c>
      <c r="G929" s="587" t="s">
        <v>19</v>
      </c>
      <c r="H929" s="561" t="s">
        <v>20</v>
      </c>
      <c r="I929" s="571" t="s">
        <v>5044</v>
      </c>
      <c r="J929" s="571">
        <v>44594</v>
      </c>
      <c r="K929" s="561" t="s">
        <v>3810</v>
      </c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70"/>
      <c r="AH929" s="570"/>
      <c r="AI929" s="570"/>
      <c r="AJ929" s="570"/>
      <c r="AK929" s="570"/>
      <c r="AL929" s="570"/>
      <c r="AM929" s="570"/>
      <c r="AN929" s="570"/>
      <c r="AO929" s="570"/>
      <c r="AP929" s="570"/>
      <c r="AQ929" s="570"/>
      <c r="AR929" s="570"/>
      <c r="AS929" s="570"/>
      <c r="AT929" s="570"/>
      <c r="AU929" s="570"/>
    </row>
    <row r="930" spans="1:47" ht="15.75" customHeight="1">
      <c r="A930" s="571">
        <v>44693</v>
      </c>
      <c r="B930" s="530">
        <v>2214585</v>
      </c>
      <c r="C930" s="530" t="s">
        <v>3793</v>
      </c>
      <c r="D930" s="561" t="s">
        <v>6343</v>
      </c>
      <c r="E930" s="573">
        <v>296037.19</v>
      </c>
      <c r="F930" s="553" t="s">
        <v>4980</v>
      </c>
      <c r="G930" s="553" t="s">
        <v>46</v>
      </c>
      <c r="H930" s="561" t="s">
        <v>20</v>
      </c>
      <c r="I930" s="561" t="s">
        <v>3981</v>
      </c>
      <c r="J930" s="571">
        <v>44085</v>
      </c>
      <c r="K930" s="554" t="s">
        <v>3797</v>
      </c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70"/>
      <c r="AH930" s="570"/>
      <c r="AI930" s="570"/>
      <c r="AJ930" s="570"/>
      <c r="AK930" s="570"/>
      <c r="AL930" s="570"/>
      <c r="AM930" s="570"/>
      <c r="AN930" s="570"/>
      <c r="AO930" s="570"/>
      <c r="AP930" s="570"/>
      <c r="AQ930" s="570"/>
      <c r="AR930" s="570"/>
      <c r="AS930" s="570"/>
      <c r="AT930" s="570"/>
      <c r="AU930" s="570"/>
    </row>
    <row r="931" spans="1:47" ht="15.75" customHeight="1">
      <c r="A931" s="571">
        <v>44693</v>
      </c>
      <c r="B931" s="530">
        <v>4886679</v>
      </c>
      <c r="C931" s="530" t="s">
        <v>3793</v>
      </c>
      <c r="D931" s="561" t="s">
        <v>6343</v>
      </c>
      <c r="E931" s="573">
        <v>187153.1</v>
      </c>
      <c r="F931" s="553" t="s">
        <v>4985</v>
      </c>
      <c r="G931" s="553" t="s">
        <v>46</v>
      </c>
      <c r="H931" s="561" t="s">
        <v>20</v>
      </c>
      <c r="I931" s="561" t="s">
        <v>3640</v>
      </c>
      <c r="J931" s="561">
        <v>0</v>
      </c>
      <c r="K931" s="554" t="s">
        <v>3850</v>
      </c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70"/>
      <c r="AH931" s="570"/>
      <c r="AI931" s="570"/>
      <c r="AJ931" s="570"/>
      <c r="AK931" s="570"/>
      <c r="AL931" s="570"/>
      <c r="AM931" s="570"/>
      <c r="AN931" s="570"/>
      <c r="AO931" s="570"/>
      <c r="AP931" s="570"/>
      <c r="AQ931" s="570"/>
      <c r="AR931" s="570"/>
      <c r="AS931" s="570"/>
      <c r="AT931" s="570"/>
      <c r="AU931" s="570"/>
    </row>
    <row r="932" spans="1:47" ht="15.75" customHeight="1">
      <c r="A932" s="571">
        <v>44693</v>
      </c>
      <c r="B932" s="530">
        <v>4084071</v>
      </c>
      <c r="C932" s="530" t="s">
        <v>3793</v>
      </c>
      <c r="D932" s="561" t="s">
        <v>6343</v>
      </c>
      <c r="E932" s="573">
        <v>15000</v>
      </c>
      <c r="F932" s="553" t="s">
        <v>3808</v>
      </c>
      <c r="G932" s="553" t="s">
        <v>19</v>
      </c>
      <c r="H932" s="553" t="s">
        <v>20</v>
      </c>
      <c r="I932" s="553" t="s">
        <v>3809</v>
      </c>
      <c r="J932" s="594">
        <v>44326</v>
      </c>
      <c r="K932" s="554" t="s">
        <v>3803</v>
      </c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70"/>
      <c r="AH932" s="570"/>
      <c r="AI932" s="570"/>
      <c r="AJ932" s="570"/>
      <c r="AK932" s="570"/>
      <c r="AL932" s="570"/>
      <c r="AM932" s="570"/>
      <c r="AN932" s="570"/>
      <c r="AO932" s="570"/>
      <c r="AP932" s="570"/>
      <c r="AQ932" s="570"/>
      <c r="AR932" s="570"/>
      <c r="AS932" s="570"/>
      <c r="AT932" s="570"/>
      <c r="AU932" s="570"/>
    </row>
    <row r="933" spans="1:47" ht="15.75" customHeight="1">
      <c r="A933" s="571">
        <v>44693</v>
      </c>
      <c r="B933" s="583" t="s">
        <v>6476</v>
      </c>
      <c r="C933" s="405" t="s">
        <v>2929</v>
      </c>
      <c r="D933" s="561" t="s">
        <v>6343</v>
      </c>
      <c r="E933" s="584">
        <v>10000</v>
      </c>
      <c r="F933" s="561" t="s">
        <v>3245</v>
      </c>
      <c r="G933" s="571" t="s">
        <v>19</v>
      </c>
      <c r="H933" s="571" t="s">
        <v>35</v>
      </c>
      <c r="I933" s="571" t="s">
        <v>2979</v>
      </c>
      <c r="J933" s="571">
        <v>44266</v>
      </c>
      <c r="K933" s="571" t="s">
        <v>3813</v>
      </c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70"/>
      <c r="AH933" s="570"/>
      <c r="AI933" s="570"/>
      <c r="AJ933" s="570"/>
      <c r="AK933" s="570"/>
      <c r="AL933" s="570"/>
      <c r="AM933" s="570"/>
      <c r="AN933" s="570"/>
      <c r="AO933" s="570"/>
      <c r="AP933" s="570"/>
      <c r="AQ933" s="570"/>
      <c r="AR933" s="570"/>
      <c r="AS933" s="570"/>
      <c r="AT933" s="570"/>
      <c r="AU933" s="570"/>
    </row>
    <row r="934" spans="1:47" ht="15.75" customHeight="1">
      <c r="A934" s="571">
        <v>44694</v>
      </c>
      <c r="B934" s="530">
        <v>4401235</v>
      </c>
      <c r="C934" s="530" t="s">
        <v>3793</v>
      </c>
      <c r="D934" s="561" t="s">
        <v>6343</v>
      </c>
      <c r="E934" s="573">
        <v>59000</v>
      </c>
      <c r="F934" s="553" t="s">
        <v>6743</v>
      </c>
      <c r="G934" s="596" t="s">
        <v>19</v>
      </c>
      <c r="H934" s="596" t="s">
        <v>20</v>
      </c>
      <c r="I934" s="596" t="s">
        <v>4150</v>
      </c>
      <c r="J934" s="594">
        <v>44089</v>
      </c>
      <c r="K934" s="554" t="s">
        <v>3810</v>
      </c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70"/>
      <c r="AH934" s="570"/>
      <c r="AI934" s="570"/>
      <c r="AJ934" s="570"/>
      <c r="AK934" s="570"/>
      <c r="AL934" s="570"/>
      <c r="AM934" s="570"/>
      <c r="AN934" s="570"/>
      <c r="AO934" s="570"/>
      <c r="AP934" s="570"/>
      <c r="AQ934" s="570"/>
      <c r="AR934" s="570"/>
      <c r="AS934" s="570"/>
      <c r="AT934" s="570"/>
      <c r="AU934" s="570"/>
    </row>
    <row r="935" spans="1:47" ht="15.75" customHeight="1">
      <c r="A935" s="571">
        <v>44694</v>
      </c>
      <c r="B935" s="530">
        <v>7438369</v>
      </c>
      <c r="C935" s="530" t="s">
        <v>3793</v>
      </c>
      <c r="D935" s="561" t="s">
        <v>956</v>
      </c>
      <c r="E935" s="573">
        <v>28617.08</v>
      </c>
      <c r="F935" s="553" t="s">
        <v>4852</v>
      </c>
      <c r="G935" s="553" t="s">
        <v>46</v>
      </c>
      <c r="H935" s="553" t="s">
        <v>20</v>
      </c>
      <c r="I935" s="553" t="s">
        <v>3855</v>
      </c>
      <c r="J935" s="594">
        <v>44551</v>
      </c>
      <c r="K935" s="554" t="s">
        <v>3817</v>
      </c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70"/>
      <c r="AH935" s="570"/>
      <c r="AI935" s="570"/>
      <c r="AJ935" s="570"/>
      <c r="AK935" s="570"/>
      <c r="AL935" s="570"/>
      <c r="AM935" s="570"/>
      <c r="AN935" s="570"/>
      <c r="AO935" s="570"/>
      <c r="AP935" s="570"/>
      <c r="AQ935" s="570"/>
      <c r="AR935" s="570"/>
      <c r="AS935" s="570"/>
      <c r="AT935" s="570"/>
      <c r="AU935" s="570"/>
    </row>
    <row r="936" spans="1:47" ht="15.75" customHeight="1">
      <c r="A936" s="571">
        <v>44694</v>
      </c>
      <c r="B936" s="530">
        <v>7542389</v>
      </c>
      <c r="C936" s="530" t="s">
        <v>3793</v>
      </c>
      <c r="D936" s="561" t="s">
        <v>956</v>
      </c>
      <c r="E936" s="573">
        <v>131457.67000000001</v>
      </c>
      <c r="F936" s="553" t="s">
        <v>4852</v>
      </c>
      <c r="G936" s="553" t="s">
        <v>46</v>
      </c>
      <c r="H936" s="553" t="s">
        <v>20</v>
      </c>
      <c r="I936" s="553" t="s">
        <v>3855</v>
      </c>
      <c r="J936" s="594">
        <v>44579</v>
      </c>
      <c r="K936" s="554" t="s">
        <v>3810</v>
      </c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70"/>
      <c r="AH936" s="570"/>
      <c r="AI936" s="570"/>
      <c r="AJ936" s="570"/>
      <c r="AK936" s="570"/>
      <c r="AL936" s="570"/>
      <c r="AM936" s="570"/>
      <c r="AN936" s="570"/>
      <c r="AO936" s="570"/>
      <c r="AP936" s="570"/>
      <c r="AQ936" s="570"/>
      <c r="AR936" s="570"/>
      <c r="AS936" s="570"/>
      <c r="AT936" s="570"/>
      <c r="AU936" s="570"/>
    </row>
    <row r="937" spans="1:47" ht="15.75" customHeight="1">
      <c r="A937" s="571">
        <v>44694</v>
      </c>
      <c r="B937" s="530">
        <v>461432</v>
      </c>
      <c r="C937" s="530" t="s">
        <v>2929</v>
      </c>
      <c r="D937" s="561" t="s">
        <v>6343</v>
      </c>
      <c r="E937" s="573">
        <v>1000</v>
      </c>
      <c r="F937" s="553" t="s">
        <v>3571</v>
      </c>
      <c r="G937" s="553" t="s">
        <v>19</v>
      </c>
      <c r="H937" s="561" t="s">
        <v>35</v>
      </c>
      <c r="I937" s="561" t="s">
        <v>250</v>
      </c>
      <c r="J937" s="571">
        <v>44319</v>
      </c>
      <c r="K937" s="554" t="s">
        <v>3817</v>
      </c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70"/>
      <c r="AH937" s="570"/>
      <c r="AI937" s="570"/>
      <c r="AJ937" s="570"/>
      <c r="AK937" s="570"/>
      <c r="AL937" s="570"/>
      <c r="AM937" s="570"/>
      <c r="AN937" s="570"/>
      <c r="AO937" s="570"/>
      <c r="AP937" s="570"/>
      <c r="AQ937" s="570"/>
      <c r="AR937" s="570"/>
      <c r="AS937" s="570"/>
      <c r="AT937" s="570"/>
      <c r="AU937" s="570"/>
    </row>
    <row r="938" spans="1:47" ht="15.75" customHeight="1">
      <c r="A938" s="571">
        <v>44694</v>
      </c>
      <c r="B938" s="553" t="s">
        <v>6670</v>
      </c>
      <c r="C938" s="530" t="s">
        <v>2929</v>
      </c>
      <c r="D938" s="561" t="s">
        <v>6343</v>
      </c>
      <c r="E938" s="573">
        <v>20000</v>
      </c>
      <c r="F938" s="530" t="s">
        <v>6697</v>
      </c>
      <c r="G938" s="553" t="s">
        <v>19</v>
      </c>
      <c r="H938" s="553" t="s">
        <v>35</v>
      </c>
      <c r="I938" s="553" t="s">
        <v>199</v>
      </c>
      <c r="J938" s="594">
        <v>44263</v>
      </c>
      <c r="K938" s="554" t="s">
        <v>3813</v>
      </c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70"/>
      <c r="AH938" s="570"/>
      <c r="AI938" s="570"/>
      <c r="AJ938" s="570"/>
      <c r="AK938" s="570"/>
      <c r="AL938" s="570"/>
      <c r="AM938" s="570"/>
      <c r="AN938" s="570"/>
      <c r="AO938" s="570"/>
      <c r="AP938" s="570"/>
      <c r="AQ938" s="570"/>
      <c r="AR938" s="570"/>
      <c r="AS938" s="570"/>
      <c r="AT938" s="570"/>
      <c r="AU938" s="570"/>
    </row>
    <row r="939" spans="1:47" ht="15.75" customHeight="1">
      <c r="A939" s="571">
        <v>44698</v>
      </c>
      <c r="B939" s="530">
        <v>320910</v>
      </c>
      <c r="C939" s="530" t="s">
        <v>2929</v>
      </c>
      <c r="D939" s="561" t="s">
        <v>6343</v>
      </c>
      <c r="E939" s="573">
        <v>54000</v>
      </c>
      <c r="F939" s="553" t="s">
        <v>6744</v>
      </c>
      <c r="G939" s="553" t="s">
        <v>19</v>
      </c>
      <c r="H939" s="553" t="s">
        <v>35</v>
      </c>
      <c r="I939" s="553" t="s">
        <v>199</v>
      </c>
      <c r="J939" s="594">
        <v>44328</v>
      </c>
      <c r="K939" s="554" t="s">
        <v>3803</v>
      </c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70"/>
      <c r="AH939" s="570"/>
      <c r="AI939" s="570"/>
      <c r="AJ939" s="570"/>
      <c r="AK939" s="570"/>
      <c r="AL939" s="570"/>
      <c r="AM939" s="570"/>
      <c r="AN939" s="570"/>
      <c r="AO939" s="570"/>
      <c r="AP939" s="570"/>
      <c r="AQ939" s="570"/>
      <c r="AR939" s="570"/>
      <c r="AS939" s="570"/>
      <c r="AT939" s="570"/>
      <c r="AU939" s="570"/>
    </row>
    <row r="940" spans="1:47" ht="15.75" customHeight="1">
      <c r="A940" s="595">
        <v>44701</v>
      </c>
      <c r="B940" s="583" t="s">
        <v>6574</v>
      </c>
      <c r="C940" s="530" t="s">
        <v>2929</v>
      </c>
      <c r="D940" s="596" t="s">
        <v>956</v>
      </c>
      <c r="E940" s="597">
        <v>120119.71</v>
      </c>
      <c r="F940" s="596" t="s">
        <v>3403</v>
      </c>
      <c r="G940" s="596" t="s">
        <v>19</v>
      </c>
      <c r="H940" s="596" t="s">
        <v>35</v>
      </c>
      <c r="I940" s="596" t="s">
        <v>250</v>
      </c>
      <c r="J940" s="595">
        <v>44391</v>
      </c>
      <c r="K940" s="530" t="s">
        <v>3803</v>
      </c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70"/>
      <c r="AH940" s="570"/>
      <c r="AI940" s="570"/>
      <c r="AJ940" s="570"/>
      <c r="AK940" s="570"/>
      <c r="AL940" s="570"/>
      <c r="AM940" s="570"/>
      <c r="AN940" s="570"/>
      <c r="AO940" s="570"/>
      <c r="AP940" s="570"/>
      <c r="AQ940" s="570"/>
      <c r="AR940" s="570"/>
      <c r="AS940" s="570"/>
      <c r="AT940" s="570"/>
      <c r="AU940" s="570"/>
    </row>
    <row r="941" spans="1:47" ht="15.75" customHeight="1">
      <c r="A941" s="571">
        <v>44704</v>
      </c>
      <c r="B941" s="530">
        <v>461432</v>
      </c>
      <c r="C941" s="530" t="s">
        <v>2929</v>
      </c>
      <c r="D941" s="561" t="s">
        <v>6343</v>
      </c>
      <c r="E941" s="573">
        <v>12200</v>
      </c>
      <c r="F941" s="553" t="s">
        <v>3571</v>
      </c>
      <c r="G941" s="553" t="s">
        <v>19</v>
      </c>
      <c r="H941" s="561" t="s">
        <v>35</v>
      </c>
      <c r="I941" s="561" t="s">
        <v>250</v>
      </c>
      <c r="J941" s="571">
        <v>44319</v>
      </c>
      <c r="K941" s="554" t="s">
        <v>3817</v>
      </c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70"/>
      <c r="AH941" s="570"/>
      <c r="AI941" s="570"/>
      <c r="AJ941" s="570"/>
      <c r="AK941" s="570"/>
      <c r="AL941" s="570"/>
      <c r="AM941" s="570"/>
      <c r="AN941" s="570"/>
      <c r="AO941" s="570"/>
      <c r="AP941" s="570"/>
      <c r="AQ941" s="570"/>
      <c r="AR941" s="570"/>
      <c r="AS941" s="570"/>
      <c r="AT941" s="570"/>
      <c r="AU941" s="570"/>
    </row>
    <row r="942" spans="1:47" ht="15.75" customHeight="1">
      <c r="A942" s="571">
        <v>44704</v>
      </c>
      <c r="B942" s="530">
        <v>5593800</v>
      </c>
      <c r="C942" s="530" t="s">
        <v>3793</v>
      </c>
      <c r="D942" s="561" t="s">
        <v>956</v>
      </c>
      <c r="E942" s="573">
        <v>97983.24</v>
      </c>
      <c r="F942" s="553" t="s">
        <v>6745</v>
      </c>
      <c r="G942" s="553" t="s">
        <v>19</v>
      </c>
      <c r="H942" s="553" t="s">
        <v>66</v>
      </c>
      <c r="I942" s="553" t="s">
        <v>316</v>
      </c>
      <c r="J942" s="594">
        <v>44344</v>
      </c>
      <c r="K942" s="530" t="s">
        <v>3797</v>
      </c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70"/>
      <c r="AH942" s="570"/>
      <c r="AI942" s="570"/>
      <c r="AJ942" s="570"/>
      <c r="AK942" s="570"/>
      <c r="AL942" s="570"/>
      <c r="AM942" s="570"/>
      <c r="AN942" s="570"/>
      <c r="AO942" s="570"/>
      <c r="AP942" s="570"/>
      <c r="AQ942" s="570"/>
      <c r="AR942" s="570"/>
      <c r="AS942" s="570"/>
      <c r="AT942" s="570"/>
      <c r="AU942" s="570"/>
    </row>
    <row r="943" spans="1:47" ht="15.75" customHeight="1">
      <c r="A943" s="571">
        <v>44704</v>
      </c>
      <c r="B943" s="530">
        <v>6986262</v>
      </c>
      <c r="C943" s="530" t="s">
        <v>3793</v>
      </c>
      <c r="D943" s="561" t="s">
        <v>6343</v>
      </c>
      <c r="E943" s="573">
        <v>20000</v>
      </c>
      <c r="F943" s="553" t="s">
        <v>4305</v>
      </c>
      <c r="G943" s="553" t="s">
        <v>19</v>
      </c>
      <c r="H943" s="553" t="s">
        <v>66</v>
      </c>
      <c r="I943" s="553" t="s">
        <v>4142</v>
      </c>
      <c r="J943" s="594">
        <v>44503</v>
      </c>
      <c r="K943" s="530" t="s">
        <v>3850</v>
      </c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70"/>
      <c r="AH943" s="570"/>
      <c r="AI943" s="570"/>
      <c r="AJ943" s="570"/>
      <c r="AK943" s="570"/>
      <c r="AL943" s="570"/>
      <c r="AM943" s="570"/>
      <c r="AN943" s="570"/>
      <c r="AO943" s="570"/>
      <c r="AP943" s="570"/>
      <c r="AQ943" s="570"/>
      <c r="AR943" s="570"/>
      <c r="AS943" s="570"/>
      <c r="AT943" s="570"/>
      <c r="AU943" s="570"/>
    </row>
    <row r="944" spans="1:47" ht="15.75" customHeight="1">
      <c r="A944" s="571">
        <v>44705</v>
      </c>
      <c r="B944" s="628" t="s">
        <v>6746</v>
      </c>
      <c r="C944" s="623" t="s">
        <v>3793</v>
      </c>
      <c r="D944" s="624" t="s">
        <v>6343</v>
      </c>
      <c r="E944" s="625">
        <v>150000</v>
      </c>
      <c r="F944" s="614" t="s">
        <v>4083</v>
      </c>
      <c r="G944" s="614" t="s">
        <v>19</v>
      </c>
      <c r="H944" s="614" t="s">
        <v>66</v>
      </c>
      <c r="I944" s="614" t="s">
        <v>6328</v>
      </c>
      <c r="J944" s="629">
        <v>44130</v>
      </c>
      <c r="K944" s="623" t="s">
        <v>3803</v>
      </c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70"/>
      <c r="AH944" s="570"/>
      <c r="AI944" s="570"/>
      <c r="AJ944" s="570"/>
      <c r="AK944" s="570"/>
      <c r="AL944" s="570"/>
      <c r="AM944" s="570"/>
      <c r="AN944" s="570"/>
      <c r="AO944" s="570"/>
      <c r="AP944" s="570"/>
      <c r="AQ944" s="570"/>
      <c r="AR944" s="570"/>
      <c r="AS944" s="570"/>
      <c r="AT944" s="570"/>
      <c r="AU944" s="570"/>
    </row>
    <row r="945" spans="1:47" ht="15.75" customHeight="1">
      <c r="A945" s="571">
        <v>44707</v>
      </c>
      <c r="B945" s="623">
        <v>6866947</v>
      </c>
      <c r="C945" s="623" t="s">
        <v>3793</v>
      </c>
      <c r="D945" s="624" t="s">
        <v>6343</v>
      </c>
      <c r="E945" s="625">
        <v>5000</v>
      </c>
      <c r="F945" s="614" t="s">
        <v>4058</v>
      </c>
      <c r="G945" s="614" t="s">
        <v>19</v>
      </c>
      <c r="H945" s="614" t="s">
        <v>66</v>
      </c>
      <c r="I945" s="614" t="s">
        <v>316</v>
      </c>
      <c r="J945" s="629">
        <v>44497</v>
      </c>
      <c r="K945" s="623" t="s">
        <v>3813</v>
      </c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70"/>
      <c r="AH945" s="570"/>
      <c r="AI945" s="570"/>
      <c r="AJ945" s="570"/>
      <c r="AK945" s="570"/>
      <c r="AL945" s="570"/>
      <c r="AM945" s="570"/>
      <c r="AN945" s="570"/>
      <c r="AO945" s="570"/>
      <c r="AP945" s="570"/>
      <c r="AQ945" s="570"/>
      <c r="AR945" s="570"/>
      <c r="AS945" s="570"/>
      <c r="AT945" s="570"/>
      <c r="AU945" s="570"/>
    </row>
    <row r="946" spans="1:47" ht="15.75" customHeight="1">
      <c r="A946" s="571">
        <v>44707</v>
      </c>
      <c r="B946" s="623">
        <v>385035</v>
      </c>
      <c r="C946" s="623" t="s">
        <v>2929</v>
      </c>
      <c r="D946" s="624" t="s">
        <v>6343</v>
      </c>
      <c r="E946" s="625">
        <v>53252</v>
      </c>
      <c r="F946" s="614" t="s">
        <v>6747</v>
      </c>
      <c r="G946" s="624" t="s">
        <v>2931</v>
      </c>
      <c r="H946" s="624" t="s">
        <v>20</v>
      </c>
      <c r="I946" s="624" t="s">
        <v>2932</v>
      </c>
      <c r="J946" s="630">
        <v>43811</v>
      </c>
      <c r="K946" s="631" t="s">
        <v>3813</v>
      </c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70"/>
      <c r="AH946" s="570"/>
      <c r="AI946" s="570"/>
      <c r="AJ946" s="570"/>
      <c r="AK946" s="570"/>
      <c r="AL946" s="570"/>
      <c r="AM946" s="570"/>
      <c r="AN946" s="570"/>
      <c r="AO946" s="570"/>
      <c r="AP946" s="570"/>
      <c r="AQ946" s="570"/>
      <c r="AR946" s="570"/>
      <c r="AS946" s="570"/>
      <c r="AT946" s="570"/>
      <c r="AU946" s="570"/>
    </row>
    <row r="947" spans="1:47" ht="15.75" customHeight="1">
      <c r="A947" s="571">
        <v>44707</v>
      </c>
      <c r="B947" s="623">
        <v>798500</v>
      </c>
      <c r="C947" s="623" t="s">
        <v>2929</v>
      </c>
      <c r="D947" s="624" t="s">
        <v>6343</v>
      </c>
      <c r="E947" s="625">
        <v>15000</v>
      </c>
      <c r="F947" s="614" t="s">
        <v>6748</v>
      </c>
      <c r="G947" s="614" t="s">
        <v>19</v>
      </c>
      <c r="H947" s="624" t="s">
        <v>35</v>
      </c>
      <c r="I947" s="624" t="s">
        <v>2979</v>
      </c>
      <c r="J947" s="626">
        <v>44299</v>
      </c>
      <c r="K947" s="631" t="s">
        <v>3803</v>
      </c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70"/>
      <c r="AH947" s="570"/>
      <c r="AI947" s="570"/>
      <c r="AJ947" s="570"/>
      <c r="AK947" s="570"/>
      <c r="AL947" s="570"/>
      <c r="AM947" s="570"/>
      <c r="AN947" s="570"/>
      <c r="AO947" s="570"/>
      <c r="AP947" s="570"/>
      <c r="AQ947" s="570"/>
      <c r="AR947" s="570"/>
      <c r="AS947" s="570"/>
      <c r="AT947" s="570"/>
      <c r="AU947" s="570"/>
    </row>
    <row r="948" spans="1:47" ht="15.75" customHeight="1">
      <c r="A948" s="571">
        <v>44713</v>
      </c>
      <c r="B948" s="623">
        <v>4681835</v>
      </c>
      <c r="C948" s="623" t="s">
        <v>3793</v>
      </c>
      <c r="D948" s="624" t="s">
        <v>956</v>
      </c>
      <c r="E948" s="625">
        <v>93639.74</v>
      </c>
      <c r="F948" s="614" t="s">
        <v>4873</v>
      </c>
      <c r="G948" s="614" t="s">
        <v>46</v>
      </c>
      <c r="H948" s="624" t="s">
        <v>20</v>
      </c>
      <c r="I948" s="624" t="s">
        <v>3981</v>
      </c>
      <c r="J948" s="626">
        <v>44204</v>
      </c>
      <c r="K948" s="631" t="s">
        <v>3797</v>
      </c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70"/>
      <c r="AH948" s="570"/>
      <c r="AI948" s="570"/>
      <c r="AJ948" s="570"/>
      <c r="AK948" s="570"/>
      <c r="AL948" s="570"/>
      <c r="AM948" s="570"/>
      <c r="AN948" s="570"/>
      <c r="AO948" s="570"/>
      <c r="AP948" s="570"/>
      <c r="AQ948" s="570"/>
      <c r="AR948" s="570"/>
      <c r="AS948" s="570"/>
      <c r="AT948" s="570"/>
      <c r="AU948" s="570"/>
    </row>
    <row r="949" spans="1:47" ht="15.75" customHeight="1">
      <c r="A949" s="595">
        <v>44713</v>
      </c>
      <c r="B949" s="632" t="s">
        <v>6516</v>
      </c>
      <c r="C949" s="623" t="s">
        <v>3793</v>
      </c>
      <c r="D949" s="633" t="s">
        <v>6343</v>
      </c>
      <c r="E949" s="634">
        <v>4000</v>
      </c>
      <c r="F949" s="633" t="s">
        <v>687</v>
      </c>
      <c r="G949" s="633" t="s">
        <v>19</v>
      </c>
      <c r="H949" s="633" t="s">
        <v>66</v>
      </c>
      <c r="I949" s="633" t="s">
        <v>316</v>
      </c>
      <c r="J949" s="635">
        <v>44407</v>
      </c>
      <c r="K949" s="623" t="s">
        <v>4018</v>
      </c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70"/>
      <c r="AH949" s="570"/>
      <c r="AI949" s="570"/>
      <c r="AJ949" s="570"/>
      <c r="AK949" s="570"/>
      <c r="AL949" s="570"/>
      <c r="AM949" s="570"/>
      <c r="AN949" s="570"/>
      <c r="AO949" s="570"/>
      <c r="AP949" s="570"/>
      <c r="AQ949" s="570"/>
      <c r="AR949" s="570"/>
      <c r="AS949" s="570"/>
      <c r="AT949" s="570"/>
      <c r="AU949" s="570"/>
    </row>
    <row r="950" spans="1:47" ht="15.75" customHeight="1">
      <c r="A950" s="571">
        <v>44714</v>
      </c>
      <c r="B950" s="623">
        <v>2956150</v>
      </c>
      <c r="C950" s="623" t="s">
        <v>3613</v>
      </c>
      <c r="D950" s="624" t="s">
        <v>6343</v>
      </c>
      <c r="E950" s="625">
        <v>3000</v>
      </c>
      <c r="F950" s="614" t="s">
        <v>3635</v>
      </c>
      <c r="G950" s="614" t="s">
        <v>19</v>
      </c>
      <c r="H950" s="624" t="s">
        <v>20</v>
      </c>
      <c r="I950" s="624" t="s">
        <v>6246</v>
      </c>
      <c r="J950" s="626">
        <v>44062</v>
      </c>
      <c r="K950" s="631" t="s">
        <v>3803</v>
      </c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70"/>
      <c r="AH950" s="570"/>
      <c r="AI950" s="570"/>
      <c r="AJ950" s="570"/>
      <c r="AK950" s="570"/>
      <c r="AL950" s="570"/>
      <c r="AM950" s="570"/>
      <c r="AN950" s="570"/>
      <c r="AO950" s="570"/>
      <c r="AP950" s="570"/>
      <c r="AQ950" s="570"/>
      <c r="AR950" s="570"/>
      <c r="AS950" s="570"/>
      <c r="AT950" s="570"/>
      <c r="AU950" s="570"/>
    </row>
    <row r="951" spans="1:47" ht="15.75" customHeight="1">
      <c r="A951" s="595">
        <v>44715</v>
      </c>
      <c r="B951" s="632">
        <v>3553004</v>
      </c>
      <c r="C951" s="623" t="s">
        <v>3793</v>
      </c>
      <c r="D951" s="633" t="s">
        <v>921</v>
      </c>
      <c r="E951" s="634">
        <v>73682.14</v>
      </c>
      <c r="F951" s="633" t="s">
        <v>4195</v>
      </c>
      <c r="G951" s="633" t="s">
        <v>2931</v>
      </c>
      <c r="H951" s="633" t="s">
        <v>20</v>
      </c>
      <c r="I951" s="633" t="s">
        <v>2931</v>
      </c>
      <c r="J951" s="635">
        <v>43742</v>
      </c>
      <c r="K951" s="623" t="s">
        <v>4196</v>
      </c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70"/>
      <c r="AH951" s="570"/>
      <c r="AI951" s="570"/>
      <c r="AJ951" s="570"/>
      <c r="AK951" s="570"/>
      <c r="AL951" s="570"/>
      <c r="AM951" s="570"/>
      <c r="AN951" s="570"/>
      <c r="AO951" s="570"/>
      <c r="AP951" s="570"/>
      <c r="AQ951" s="570"/>
      <c r="AR951" s="570"/>
      <c r="AS951" s="570"/>
      <c r="AT951" s="570"/>
      <c r="AU951" s="570"/>
    </row>
    <row r="952" spans="1:47" ht="15.75" customHeight="1">
      <c r="A952" s="595">
        <v>44718</v>
      </c>
      <c r="B952" s="632" t="s">
        <v>6749</v>
      </c>
      <c r="C952" s="623" t="s">
        <v>3793</v>
      </c>
      <c r="D952" s="633" t="s">
        <v>956</v>
      </c>
      <c r="E952" s="634" t="s">
        <v>6750</v>
      </c>
      <c r="F952" s="633" t="s">
        <v>6751</v>
      </c>
      <c r="G952" s="633" t="s">
        <v>19</v>
      </c>
      <c r="H952" s="633" t="s">
        <v>66</v>
      </c>
      <c r="I952" s="633" t="s">
        <v>316</v>
      </c>
      <c r="J952" s="635">
        <v>44405</v>
      </c>
      <c r="K952" s="623" t="s">
        <v>3817</v>
      </c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70"/>
      <c r="AH952" s="570"/>
      <c r="AI952" s="570"/>
      <c r="AJ952" s="570"/>
      <c r="AK952" s="570"/>
      <c r="AL952" s="570"/>
      <c r="AM952" s="570"/>
      <c r="AN952" s="570"/>
      <c r="AO952" s="570"/>
      <c r="AP952" s="570"/>
      <c r="AQ952" s="570"/>
      <c r="AR952" s="570"/>
      <c r="AS952" s="570"/>
      <c r="AT952" s="570"/>
      <c r="AU952" s="570"/>
    </row>
    <row r="953" spans="1:47" ht="15.75" customHeight="1">
      <c r="A953" s="595">
        <v>44718</v>
      </c>
      <c r="B953" s="632" t="s">
        <v>6544</v>
      </c>
      <c r="C953" s="623" t="s">
        <v>3793</v>
      </c>
      <c r="D953" s="633" t="s">
        <v>6343</v>
      </c>
      <c r="E953" s="634">
        <v>127458.23</v>
      </c>
      <c r="F953" s="633" t="s">
        <v>3808</v>
      </c>
      <c r="G953" s="633" t="s">
        <v>19</v>
      </c>
      <c r="H953" s="633" t="s">
        <v>20</v>
      </c>
      <c r="I953" s="633" t="s">
        <v>3809</v>
      </c>
      <c r="J953" s="635">
        <v>44326</v>
      </c>
      <c r="K953" s="623" t="s">
        <v>3810</v>
      </c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70"/>
      <c r="AH953" s="570"/>
      <c r="AI953" s="570"/>
      <c r="AJ953" s="570"/>
      <c r="AK953" s="570"/>
      <c r="AL953" s="570"/>
      <c r="AM953" s="570"/>
      <c r="AN953" s="570"/>
      <c r="AO953" s="570"/>
      <c r="AP953" s="570"/>
      <c r="AQ953" s="570"/>
      <c r="AR953" s="570"/>
      <c r="AS953" s="570"/>
      <c r="AT953" s="570"/>
      <c r="AU953" s="570"/>
    </row>
    <row r="954" spans="1:47" ht="15.75" customHeight="1">
      <c r="A954" s="595">
        <v>44719</v>
      </c>
      <c r="B954" s="632" t="s">
        <v>6752</v>
      </c>
      <c r="C954" s="623" t="s">
        <v>3793</v>
      </c>
      <c r="D954" s="633" t="s">
        <v>921</v>
      </c>
      <c r="E954" s="634">
        <v>185758.05</v>
      </c>
      <c r="F954" s="633" t="s">
        <v>4638</v>
      </c>
      <c r="G954" s="633" t="s">
        <v>46</v>
      </c>
      <c r="H954" s="633" t="s">
        <v>20</v>
      </c>
      <c r="I954" s="633" t="s">
        <v>4112</v>
      </c>
      <c r="J954" s="635">
        <v>44218</v>
      </c>
      <c r="K954" s="623" t="s">
        <v>3817</v>
      </c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70"/>
      <c r="AH954" s="570"/>
      <c r="AI954" s="570"/>
      <c r="AJ954" s="570"/>
      <c r="AK954" s="570"/>
      <c r="AL954" s="570"/>
      <c r="AM954" s="570"/>
      <c r="AN954" s="570"/>
      <c r="AO954" s="570"/>
      <c r="AP954" s="570"/>
      <c r="AQ954" s="570"/>
      <c r="AR954" s="570"/>
      <c r="AS954" s="570"/>
      <c r="AT954" s="570"/>
      <c r="AU954" s="570"/>
    </row>
    <row r="955" spans="1:47" ht="15.75" customHeight="1">
      <c r="A955" s="595">
        <v>44719</v>
      </c>
      <c r="B955" s="632" t="s">
        <v>6753</v>
      </c>
      <c r="C955" s="623" t="s">
        <v>3793</v>
      </c>
      <c r="D955" s="633" t="s">
        <v>6343</v>
      </c>
      <c r="E955" s="634">
        <v>470001.08</v>
      </c>
      <c r="F955" s="633" t="s">
        <v>4065</v>
      </c>
      <c r="G955" s="633" t="s">
        <v>46</v>
      </c>
      <c r="H955" s="633" t="s">
        <v>20</v>
      </c>
      <c r="I955" s="633" t="s">
        <v>4066</v>
      </c>
      <c r="J955" s="635">
        <v>44103</v>
      </c>
      <c r="K955" s="623" t="s">
        <v>3813</v>
      </c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70"/>
      <c r="AH955" s="570"/>
      <c r="AI955" s="570"/>
      <c r="AJ955" s="570"/>
      <c r="AK955" s="570"/>
      <c r="AL955" s="570"/>
      <c r="AM955" s="570"/>
      <c r="AN955" s="570"/>
      <c r="AO955" s="570"/>
      <c r="AP955" s="570"/>
      <c r="AQ955" s="570"/>
      <c r="AR955" s="570"/>
      <c r="AS955" s="570"/>
      <c r="AT955" s="570"/>
      <c r="AU955" s="570"/>
    </row>
    <row r="956" spans="1:47" ht="15.75" customHeight="1">
      <c r="A956" s="595">
        <v>44720</v>
      </c>
      <c r="B956" s="632" t="s">
        <v>6691</v>
      </c>
      <c r="C956" s="623" t="s">
        <v>3793</v>
      </c>
      <c r="D956" s="633" t="s">
        <v>6343</v>
      </c>
      <c r="E956" s="634">
        <v>30000</v>
      </c>
      <c r="F956" s="633" t="s">
        <v>6692</v>
      </c>
      <c r="G956" s="633" t="s">
        <v>19</v>
      </c>
      <c r="H956" s="633" t="s">
        <v>66</v>
      </c>
      <c r="I956" s="633" t="s">
        <v>144</v>
      </c>
      <c r="J956" s="635">
        <v>44645</v>
      </c>
      <c r="K956" s="623" t="s">
        <v>3803</v>
      </c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70"/>
      <c r="AH956" s="570"/>
      <c r="AI956" s="570"/>
      <c r="AJ956" s="570"/>
      <c r="AK956" s="570"/>
      <c r="AL956" s="570"/>
      <c r="AM956" s="570"/>
      <c r="AN956" s="570"/>
      <c r="AO956" s="570"/>
      <c r="AP956" s="570"/>
      <c r="AQ956" s="570"/>
      <c r="AR956" s="570"/>
      <c r="AS956" s="570"/>
      <c r="AT956" s="570"/>
      <c r="AU956" s="570"/>
    </row>
    <row r="957" spans="1:47" ht="15.75" customHeight="1">
      <c r="A957" s="595">
        <v>44721</v>
      </c>
      <c r="B957" s="632" t="s">
        <v>6621</v>
      </c>
      <c r="C957" s="623" t="s">
        <v>3793</v>
      </c>
      <c r="D957" s="633" t="s">
        <v>6343</v>
      </c>
      <c r="E957" s="634">
        <v>20000</v>
      </c>
      <c r="F957" s="633" t="s">
        <v>4216</v>
      </c>
      <c r="G957" s="633" t="s">
        <v>19</v>
      </c>
      <c r="H957" s="633" t="s">
        <v>20</v>
      </c>
      <c r="I957" s="633" t="s">
        <v>3080</v>
      </c>
      <c r="J957" s="635">
        <v>44399</v>
      </c>
      <c r="K957" s="623" t="s">
        <v>3803</v>
      </c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70"/>
      <c r="AH957" s="570"/>
      <c r="AI957" s="570"/>
      <c r="AJ957" s="570"/>
      <c r="AK957" s="570"/>
      <c r="AL957" s="570"/>
      <c r="AM957" s="570"/>
      <c r="AN957" s="570"/>
      <c r="AO957" s="570"/>
      <c r="AP957" s="570"/>
      <c r="AQ957" s="570"/>
      <c r="AR957" s="570"/>
      <c r="AS957" s="570"/>
      <c r="AT957" s="570"/>
      <c r="AU957" s="570"/>
    </row>
    <row r="958" spans="1:47" ht="15.75" customHeight="1">
      <c r="A958" s="595">
        <v>44726</v>
      </c>
      <c r="B958" s="632" t="s">
        <v>6665</v>
      </c>
      <c r="C958" s="623" t="s">
        <v>3793</v>
      </c>
      <c r="D958" s="633" t="s">
        <v>6343</v>
      </c>
      <c r="E958" s="634">
        <v>20000</v>
      </c>
      <c r="F958" s="633" t="s">
        <v>1741</v>
      </c>
      <c r="G958" s="633" t="s">
        <v>19</v>
      </c>
      <c r="H958" s="633" t="s">
        <v>20</v>
      </c>
      <c r="I958" s="633" t="s">
        <v>5044</v>
      </c>
      <c r="J958" s="635">
        <v>44594</v>
      </c>
      <c r="K958" s="623" t="s">
        <v>3810</v>
      </c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70"/>
      <c r="AH958" s="570"/>
      <c r="AI958" s="570"/>
      <c r="AJ958" s="570"/>
      <c r="AK958" s="570"/>
      <c r="AL958" s="570"/>
      <c r="AM958" s="570"/>
      <c r="AN958" s="570"/>
      <c r="AO958" s="570"/>
      <c r="AP958" s="570"/>
      <c r="AQ958" s="570"/>
      <c r="AR958" s="570"/>
      <c r="AS958" s="570"/>
      <c r="AT958" s="570"/>
      <c r="AU958" s="570"/>
    </row>
    <row r="959" spans="1:47" ht="15.75" customHeight="1">
      <c r="A959" s="595">
        <v>44727</v>
      </c>
      <c r="B959" s="632" t="s">
        <v>6754</v>
      </c>
      <c r="C959" s="623" t="s">
        <v>3793</v>
      </c>
      <c r="D959" s="633" t="s">
        <v>956</v>
      </c>
      <c r="E959" s="634">
        <v>9396.31</v>
      </c>
      <c r="F959" s="633" t="s">
        <v>4225</v>
      </c>
      <c r="G959" s="633" t="s">
        <v>19</v>
      </c>
      <c r="H959" s="633" t="s">
        <v>20</v>
      </c>
      <c r="I959" s="633" t="s">
        <v>4226</v>
      </c>
      <c r="J959" s="635">
        <v>44323</v>
      </c>
      <c r="K959" s="623" t="s">
        <v>3810</v>
      </c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70"/>
      <c r="AH959" s="570"/>
      <c r="AI959" s="570"/>
      <c r="AJ959" s="570"/>
      <c r="AK959" s="570"/>
      <c r="AL959" s="570"/>
      <c r="AM959" s="570"/>
      <c r="AN959" s="570"/>
      <c r="AO959" s="570"/>
      <c r="AP959" s="570"/>
      <c r="AQ959" s="570"/>
      <c r="AR959" s="570"/>
      <c r="AS959" s="570"/>
      <c r="AT959" s="570"/>
      <c r="AU959" s="570"/>
    </row>
    <row r="960" spans="1:47" ht="15.75" customHeight="1">
      <c r="A960" s="595">
        <v>44727</v>
      </c>
      <c r="B960" s="632" t="s">
        <v>6755</v>
      </c>
      <c r="C960" s="623" t="s">
        <v>3793</v>
      </c>
      <c r="D960" s="633" t="s">
        <v>6343</v>
      </c>
      <c r="E960" s="634">
        <v>44000</v>
      </c>
      <c r="F960" s="633" t="s">
        <v>1437</v>
      </c>
      <c r="G960" s="633" t="s">
        <v>46</v>
      </c>
      <c r="H960" s="633" t="s">
        <v>20</v>
      </c>
      <c r="I960" s="633">
        <v>4551730</v>
      </c>
      <c r="J960" s="635">
        <v>44138</v>
      </c>
      <c r="K960" s="623" t="s">
        <v>3813</v>
      </c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70"/>
      <c r="AH960" s="570"/>
      <c r="AI960" s="570"/>
      <c r="AJ960" s="570"/>
      <c r="AK960" s="570"/>
      <c r="AL960" s="570"/>
      <c r="AM960" s="570"/>
      <c r="AN960" s="570"/>
      <c r="AO960" s="570"/>
      <c r="AP960" s="570"/>
      <c r="AQ960" s="570"/>
      <c r="AR960" s="570"/>
      <c r="AS960" s="570"/>
      <c r="AT960" s="570"/>
      <c r="AU960" s="570"/>
    </row>
    <row r="961" spans="1:47" ht="15.75" customHeight="1">
      <c r="A961" s="595">
        <v>44732</v>
      </c>
      <c r="B961" s="632">
        <v>4068685</v>
      </c>
      <c r="C961" s="623" t="s">
        <v>3793</v>
      </c>
      <c r="D961" s="633" t="s">
        <v>6343</v>
      </c>
      <c r="E961" s="634">
        <v>250000</v>
      </c>
      <c r="F961" s="633" t="s">
        <v>4083</v>
      </c>
      <c r="G961" s="633" t="s">
        <v>19</v>
      </c>
      <c r="H961" s="633" t="s">
        <v>66</v>
      </c>
      <c r="I961" s="633" t="s">
        <v>6328</v>
      </c>
      <c r="J961" s="635">
        <v>44130</v>
      </c>
      <c r="K961" s="623" t="s">
        <v>3803</v>
      </c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70"/>
      <c r="AH961" s="570"/>
      <c r="AI961" s="570"/>
      <c r="AJ961" s="570"/>
      <c r="AK961" s="570"/>
      <c r="AL961" s="570"/>
      <c r="AM961" s="570"/>
      <c r="AN961" s="570"/>
      <c r="AO961" s="570"/>
      <c r="AP961" s="570"/>
      <c r="AQ961" s="570"/>
      <c r="AR961" s="570"/>
      <c r="AS961" s="570"/>
      <c r="AT961" s="570"/>
      <c r="AU961" s="570"/>
    </row>
    <row r="962" spans="1:47" ht="15.75" customHeight="1">
      <c r="A962" s="595">
        <v>44734</v>
      </c>
      <c r="B962" s="632" t="s">
        <v>6753</v>
      </c>
      <c r="C962" s="623" t="s">
        <v>3793</v>
      </c>
      <c r="D962" s="633" t="s">
        <v>6343</v>
      </c>
      <c r="E962" s="634">
        <v>823824</v>
      </c>
      <c r="F962" s="633" t="s">
        <v>4065</v>
      </c>
      <c r="G962" s="633" t="s">
        <v>46</v>
      </c>
      <c r="H962" s="633" t="s">
        <v>20</v>
      </c>
      <c r="I962" s="633" t="s">
        <v>4066</v>
      </c>
      <c r="J962" s="635">
        <v>44103</v>
      </c>
      <c r="K962" s="623" t="s">
        <v>3813</v>
      </c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70"/>
      <c r="AH962" s="570"/>
      <c r="AI962" s="570"/>
      <c r="AJ962" s="570"/>
      <c r="AK962" s="570"/>
      <c r="AL962" s="570"/>
      <c r="AM962" s="570"/>
      <c r="AN962" s="570"/>
      <c r="AO962" s="570"/>
      <c r="AP962" s="570"/>
      <c r="AQ962" s="570"/>
      <c r="AR962" s="570"/>
      <c r="AS962" s="570"/>
      <c r="AT962" s="570"/>
      <c r="AU962" s="570"/>
    </row>
    <row r="963" spans="1:47" ht="15.75" customHeight="1">
      <c r="A963" s="595">
        <v>44735</v>
      </c>
      <c r="B963" s="632" t="s">
        <v>6398</v>
      </c>
      <c r="C963" s="623" t="s">
        <v>2929</v>
      </c>
      <c r="D963" s="633" t="s">
        <v>956</v>
      </c>
      <c r="E963" s="634">
        <v>64448.81</v>
      </c>
      <c r="F963" s="633" t="s">
        <v>3043</v>
      </c>
      <c r="G963" s="633" t="s">
        <v>2931</v>
      </c>
      <c r="H963" s="633" t="s">
        <v>20</v>
      </c>
      <c r="I963" s="633" t="s">
        <v>2932</v>
      </c>
      <c r="J963" s="635">
        <v>43707</v>
      </c>
      <c r="K963" s="623" t="s">
        <v>3817</v>
      </c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70"/>
      <c r="AH963" s="570"/>
      <c r="AI963" s="570"/>
      <c r="AJ963" s="570"/>
      <c r="AK963" s="570"/>
      <c r="AL963" s="570"/>
      <c r="AM963" s="570"/>
      <c r="AN963" s="570"/>
      <c r="AO963" s="570"/>
      <c r="AP963" s="570"/>
      <c r="AQ963" s="570"/>
      <c r="AR963" s="570"/>
      <c r="AS963" s="570"/>
      <c r="AT963" s="570"/>
      <c r="AU963" s="570"/>
    </row>
    <row r="964" spans="1:47" ht="15.75" customHeight="1">
      <c r="A964" s="595">
        <v>44739</v>
      </c>
      <c r="B964" s="632" t="s">
        <v>6756</v>
      </c>
      <c r="C964" s="623" t="s">
        <v>3793</v>
      </c>
      <c r="D964" s="633" t="s">
        <v>6343</v>
      </c>
      <c r="E964" s="634">
        <v>10000</v>
      </c>
      <c r="F964" s="633" t="s">
        <v>6757</v>
      </c>
      <c r="G964" s="633" t="s">
        <v>19</v>
      </c>
      <c r="H964" s="633" t="s">
        <v>66</v>
      </c>
      <c r="I964" s="633" t="s">
        <v>144</v>
      </c>
      <c r="J964" s="635">
        <v>44715</v>
      </c>
      <c r="K964" s="623" t="s">
        <v>3813</v>
      </c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70"/>
      <c r="AH964" s="570"/>
      <c r="AI964" s="570"/>
      <c r="AJ964" s="570"/>
      <c r="AK964" s="570"/>
      <c r="AL964" s="570"/>
      <c r="AM964" s="570"/>
      <c r="AN964" s="570"/>
      <c r="AO964" s="570"/>
      <c r="AP964" s="570"/>
      <c r="AQ964" s="570"/>
      <c r="AR964" s="570"/>
      <c r="AS964" s="570"/>
      <c r="AT964" s="570"/>
      <c r="AU964" s="570"/>
    </row>
    <row r="965" spans="1:47" ht="15.75" customHeight="1">
      <c r="A965" s="595">
        <v>44739</v>
      </c>
      <c r="B965" s="632" t="s">
        <v>6758</v>
      </c>
      <c r="C965" s="623" t="s">
        <v>3793</v>
      </c>
      <c r="D965" s="633" t="s">
        <v>6343</v>
      </c>
      <c r="E965" s="634">
        <v>323000</v>
      </c>
      <c r="F965" s="633" t="s">
        <v>4401</v>
      </c>
      <c r="G965" s="633" t="s">
        <v>19</v>
      </c>
      <c r="H965" s="633" t="s">
        <v>66</v>
      </c>
      <c r="I965" s="633" t="s">
        <v>144</v>
      </c>
      <c r="J965" s="635">
        <v>44694</v>
      </c>
      <c r="K965" s="623" t="s">
        <v>3810</v>
      </c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70"/>
      <c r="AH965" s="570"/>
      <c r="AI965" s="570"/>
      <c r="AJ965" s="570"/>
      <c r="AK965" s="570"/>
      <c r="AL965" s="570"/>
      <c r="AM965" s="570"/>
      <c r="AN965" s="570"/>
      <c r="AO965" s="570"/>
      <c r="AP965" s="570"/>
      <c r="AQ965" s="570"/>
      <c r="AR965" s="570"/>
      <c r="AS965" s="570"/>
      <c r="AT965" s="570"/>
      <c r="AU965" s="570"/>
    </row>
    <row r="966" spans="1:47" ht="15.75" customHeight="1">
      <c r="A966" s="595">
        <v>44740</v>
      </c>
      <c r="B966" s="632" t="s">
        <v>6490</v>
      </c>
      <c r="C966" s="623" t="s">
        <v>3793</v>
      </c>
      <c r="D966" s="633" t="s">
        <v>921</v>
      </c>
      <c r="E966" s="634">
        <v>3147.95</v>
      </c>
      <c r="F966" s="633" t="s">
        <v>1177</v>
      </c>
      <c r="G966" s="633" t="s">
        <v>46</v>
      </c>
      <c r="H966" s="633" t="s">
        <v>20</v>
      </c>
      <c r="I966" s="633" t="s">
        <v>4112</v>
      </c>
      <c r="J966" s="635">
        <v>44145</v>
      </c>
      <c r="K966" s="623" t="s">
        <v>3797</v>
      </c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70"/>
      <c r="AH966" s="570"/>
      <c r="AI966" s="570"/>
      <c r="AJ966" s="570"/>
      <c r="AK966" s="570"/>
      <c r="AL966" s="570"/>
      <c r="AM966" s="570"/>
      <c r="AN966" s="570"/>
      <c r="AO966" s="570"/>
      <c r="AP966" s="570"/>
      <c r="AQ966" s="570"/>
      <c r="AR966" s="570"/>
      <c r="AS966" s="570"/>
      <c r="AT966" s="570"/>
      <c r="AU966" s="570"/>
    </row>
    <row r="967" spans="1:47" ht="15.75" customHeight="1">
      <c r="A967" s="595">
        <v>44740</v>
      </c>
      <c r="B967" s="632" t="s">
        <v>6759</v>
      </c>
      <c r="C967" s="623" t="s">
        <v>3793</v>
      </c>
      <c r="D967" s="633" t="s">
        <v>6343</v>
      </c>
      <c r="E967" s="634">
        <v>35000</v>
      </c>
      <c r="F967" s="633" t="s">
        <v>4108</v>
      </c>
      <c r="G967" s="633" t="s">
        <v>19</v>
      </c>
      <c r="H967" s="633" t="s">
        <v>66</v>
      </c>
      <c r="I967" s="633" t="s">
        <v>5026</v>
      </c>
      <c r="J967" s="635">
        <v>44445</v>
      </c>
      <c r="K967" s="623" t="s">
        <v>3810</v>
      </c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70"/>
      <c r="AH967" s="570"/>
      <c r="AI967" s="570"/>
      <c r="AJ967" s="570"/>
      <c r="AK967" s="570"/>
      <c r="AL967" s="570"/>
      <c r="AM967" s="570"/>
      <c r="AN967" s="570"/>
      <c r="AO967" s="570"/>
      <c r="AP967" s="570"/>
      <c r="AQ967" s="570"/>
      <c r="AR967" s="570"/>
      <c r="AS967" s="570"/>
      <c r="AT967" s="570"/>
      <c r="AU967" s="570"/>
    </row>
    <row r="968" spans="1:47" ht="15.75" customHeight="1">
      <c r="A968" s="595">
        <v>44740</v>
      </c>
      <c r="B968" s="632" t="s">
        <v>6760</v>
      </c>
      <c r="C968" s="623" t="s">
        <v>3793</v>
      </c>
      <c r="D968" s="633" t="s">
        <v>956</v>
      </c>
      <c r="E968" s="634" t="s">
        <v>6761</v>
      </c>
      <c r="F968" s="633" t="s">
        <v>4071</v>
      </c>
      <c r="G968" s="633" t="s">
        <v>19</v>
      </c>
      <c r="H968" s="633" t="s">
        <v>66</v>
      </c>
      <c r="I968" s="633" t="s">
        <v>316</v>
      </c>
      <c r="J968" s="635">
        <v>44466</v>
      </c>
      <c r="K968" s="623" t="s">
        <v>3817</v>
      </c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70"/>
      <c r="AH968" s="570"/>
      <c r="AI968" s="570"/>
      <c r="AJ968" s="570"/>
      <c r="AK968" s="570"/>
      <c r="AL968" s="570"/>
      <c r="AM968" s="570"/>
      <c r="AN968" s="570"/>
      <c r="AO968" s="570"/>
      <c r="AP968" s="570"/>
      <c r="AQ968" s="570"/>
      <c r="AR968" s="570"/>
      <c r="AS968" s="570"/>
      <c r="AT968" s="570"/>
      <c r="AU968" s="570"/>
    </row>
    <row r="969" spans="1:47" ht="15.75" customHeight="1">
      <c r="A969" s="595">
        <v>44741</v>
      </c>
      <c r="B969" s="632" t="s">
        <v>6762</v>
      </c>
      <c r="C969" s="623" t="s">
        <v>3793</v>
      </c>
      <c r="D969" s="633" t="s">
        <v>6343</v>
      </c>
      <c r="E969" s="634">
        <v>350000</v>
      </c>
      <c r="F969" s="633" t="s">
        <v>1577</v>
      </c>
      <c r="G969" s="633" t="s">
        <v>19</v>
      </c>
      <c r="H969" s="633" t="s">
        <v>66</v>
      </c>
      <c r="I969" s="633" t="s">
        <v>67</v>
      </c>
      <c r="J969" s="635">
        <v>44568</v>
      </c>
      <c r="K969" s="623" t="s">
        <v>4473</v>
      </c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70"/>
      <c r="AH969" s="570"/>
      <c r="AI969" s="570"/>
      <c r="AJ969" s="570"/>
      <c r="AK969" s="570"/>
      <c r="AL969" s="570"/>
      <c r="AM969" s="570"/>
      <c r="AN969" s="570"/>
      <c r="AO969" s="570"/>
      <c r="AP969" s="570"/>
      <c r="AQ969" s="570"/>
      <c r="AR969" s="570"/>
      <c r="AS969" s="570"/>
      <c r="AT969" s="570"/>
      <c r="AU969" s="570"/>
    </row>
    <row r="970" spans="1:47" ht="15.75" customHeight="1">
      <c r="A970" s="595">
        <v>44741</v>
      </c>
      <c r="B970" s="632" t="s">
        <v>6763</v>
      </c>
      <c r="C970" s="623" t="s">
        <v>3793</v>
      </c>
      <c r="D970" s="633" t="s">
        <v>6343</v>
      </c>
      <c r="E970" s="634">
        <v>15000</v>
      </c>
      <c r="F970" s="633" t="s">
        <v>4757</v>
      </c>
      <c r="G970" s="633" t="s">
        <v>19</v>
      </c>
      <c r="H970" s="633" t="s">
        <v>66</v>
      </c>
      <c r="I970" s="633" t="s">
        <v>6328</v>
      </c>
      <c r="J970" s="635">
        <v>44679</v>
      </c>
      <c r="K970" s="623" t="s">
        <v>3803</v>
      </c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70"/>
      <c r="AH970" s="570"/>
      <c r="AI970" s="570"/>
      <c r="AJ970" s="570"/>
      <c r="AK970" s="570"/>
      <c r="AL970" s="570"/>
      <c r="AM970" s="570"/>
      <c r="AN970" s="570"/>
      <c r="AO970" s="570"/>
      <c r="AP970" s="570"/>
      <c r="AQ970" s="570"/>
      <c r="AR970" s="570"/>
      <c r="AS970" s="570"/>
      <c r="AT970" s="570"/>
      <c r="AU970" s="570"/>
    </row>
    <row r="971" spans="1:47" ht="15.75" customHeight="1">
      <c r="A971" s="595">
        <v>44746</v>
      </c>
      <c r="B971" s="632" t="s">
        <v>6764</v>
      </c>
      <c r="C971" s="623" t="s">
        <v>2929</v>
      </c>
      <c r="D971" s="633" t="s">
        <v>956</v>
      </c>
      <c r="E971" s="634">
        <v>53398.09</v>
      </c>
      <c r="F971" s="633" t="s">
        <v>3551</v>
      </c>
      <c r="G971" s="633" t="s">
        <v>19</v>
      </c>
      <c r="H971" s="633" t="s">
        <v>35</v>
      </c>
      <c r="I971" s="633" t="s">
        <v>250</v>
      </c>
      <c r="J971" s="635">
        <v>44335</v>
      </c>
      <c r="K971" s="623" t="s">
        <v>3803</v>
      </c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70"/>
      <c r="AH971" s="570"/>
      <c r="AI971" s="570"/>
      <c r="AJ971" s="570"/>
      <c r="AK971" s="570"/>
      <c r="AL971" s="570"/>
      <c r="AM971" s="570"/>
      <c r="AN971" s="570"/>
      <c r="AO971" s="570"/>
      <c r="AP971" s="570"/>
      <c r="AQ971" s="570"/>
      <c r="AR971" s="570"/>
      <c r="AS971" s="570"/>
      <c r="AT971" s="570"/>
      <c r="AU971" s="570"/>
    </row>
    <row r="972" spans="1:47" ht="15.75" customHeight="1">
      <c r="A972" s="595">
        <v>44753</v>
      </c>
      <c r="B972" s="632" t="s">
        <v>6765</v>
      </c>
      <c r="C972" s="623" t="s">
        <v>3793</v>
      </c>
      <c r="D972" s="633" t="s">
        <v>956</v>
      </c>
      <c r="E972" s="634">
        <v>102018.55</v>
      </c>
      <c r="F972" s="633" t="s">
        <v>6766</v>
      </c>
      <c r="G972" s="633" t="s">
        <v>19</v>
      </c>
      <c r="H972" s="633" t="s">
        <v>20</v>
      </c>
      <c r="I972" s="633" t="s">
        <v>184</v>
      </c>
      <c r="J972" s="635">
        <v>44655</v>
      </c>
      <c r="K972" s="623" t="s">
        <v>3803</v>
      </c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70"/>
      <c r="AH972" s="570"/>
      <c r="AI972" s="570"/>
      <c r="AJ972" s="570"/>
      <c r="AK972" s="570"/>
      <c r="AL972" s="570"/>
      <c r="AM972" s="570"/>
      <c r="AN972" s="570"/>
      <c r="AO972" s="570"/>
      <c r="AP972" s="570"/>
      <c r="AQ972" s="570"/>
      <c r="AR972" s="570"/>
      <c r="AS972" s="570"/>
      <c r="AT972" s="570"/>
      <c r="AU972" s="570"/>
    </row>
    <row r="973" spans="1:47" ht="15.75" customHeight="1">
      <c r="A973" s="595">
        <v>44753</v>
      </c>
      <c r="B973" s="632" t="s">
        <v>6414</v>
      </c>
      <c r="C973" s="623" t="s">
        <v>3793</v>
      </c>
      <c r="D973" s="633" t="s">
        <v>6343</v>
      </c>
      <c r="E973" s="634">
        <v>5000</v>
      </c>
      <c r="F973" s="633" t="s">
        <v>4381</v>
      </c>
      <c r="G973" s="633" t="s">
        <v>19</v>
      </c>
      <c r="H973" s="633" t="s">
        <v>66</v>
      </c>
      <c r="I973" s="633" t="s">
        <v>3870</v>
      </c>
      <c r="J973" s="635">
        <v>44263</v>
      </c>
      <c r="K973" s="623" t="s">
        <v>3810</v>
      </c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70"/>
      <c r="AH973" s="570"/>
      <c r="AI973" s="570"/>
      <c r="AJ973" s="570"/>
      <c r="AK973" s="570"/>
      <c r="AL973" s="570"/>
      <c r="AM973" s="570"/>
      <c r="AN973" s="570"/>
      <c r="AO973" s="570"/>
      <c r="AP973" s="570"/>
      <c r="AQ973" s="570"/>
      <c r="AR973" s="570"/>
      <c r="AS973" s="570"/>
      <c r="AT973" s="570"/>
      <c r="AU973" s="570"/>
    </row>
    <row r="974" spans="1:47" ht="15.75" customHeight="1">
      <c r="A974" s="595">
        <v>44754</v>
      </c>
      <c r="B974" s="632" t="s">
        <v>6756</v>
      </c>
      <c r="C974" s="623" t="s">
        <v>3793</v>
      </c>
      <c r="D974" s="633" t="s">
        <v>6343</v>
      </c>
      <c r="E974" s="634">
        <v>10000</v>
      </c>
      <c r="F974" s="633" t="s">
        <v>6757</v>
      </c>
      <c r="G974" s="633" t="s">
        <v>19</v>
      </c>
      <c r="H974" s="633" t="s">
        <v>66</v>
      </c>
      <c r="I974" s="633" t="s">
        <v>144</v>
      </c>
      <c r="J974" s="635">
        <v>44715</v>
      </c>
      <c r="K974" s="623" t="s">
        <v>3813</v>
      </c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70"/>
      <c r="AH974" s="570"/>
      <c r="AI974" s="570"/>
      <c r="AJ974" s="570"/>
      <c r="AK974" s="570"/>
      <c r="AL974" s="570"/>
      <c r="AM974" s="570"/>
      <c r="AN974" s="570"/>
      <c r="AO974" s="570"/>
      <c r="AP974" s="570"/>
      <c r="AQ974" s="570"/>
      <c r="AR974" s="570"/>
      <c r="AS974" s="570"/>
      <c r="AT974" s="570"/>
      <c r="AU974" s="570"/>
    </row>
    <row r="975" spans="1:47" ht="15.75" customHeight="1">
      <c r="A975" s="595">
        <v>44754</v>
      </c>
      <c r="B975" s="632" t="s">
        <v>6756</v>
      </c>
      <c r="C975" s="623" t="s">
        <v>3793</v>
      </c>
      <c r="D975" s="633" t="s">
        <v>6343</v>
      </c>
      <c r="E975" s="634">
        <v>10000</v>
      </c>
      <c r="F975" s="633" t="s">
        <v>6757</v>
      </c>
      <c r="G975" s="633" t="s">
        <v>19</v>
      </c>
      <c r="H975" s="633" t="s">
        <v>66</v>
      </c>
      <c r="I975" s="633" t="s">
        <v>144</v>
      </c>
      <c r="J975" s="635">
        <v>44715</v>
      </c>
      <c r="K975" s="623" t="s">
        <v>3813</v>
      </c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70"/>
      <c r="AH975" s="570"/>
      <c r="AI975" s="570"/>
      <c r="AJ975" s="570"/>
      <c r="AK975" s="570"/>
      <c r="AL975" s="570"/>
      <c r="AM975" s="570"/>
      <c r="AN975" s="570"/>
      <c r="AO975" s="570"/>
      <c r="AP975" s="570"/>
      <c r="AQ975" s="570"/>
      <c r="AR975" s="570"/>
      <c r="AS975" s="570"/>
      <c r="AT975" s="570"/>
      <c r="AU975" s="570"/>
    </row>
    <row r="976" spans="1:47" ht="15.75" customHeight="1">
      <c r="A976" s="595">
        <v>44756</v>
      </c>
      <c r="B976" s="632" t="s">
        <v>6716</v>
      </c>
      <c r="C976" s="623" t="s">
        <v>3793</v>
      </c>
      <c r="D976" s="633" t="s">
        <v>6343</v>
      </c>
      <c r="E976" s="634">
        <v>7141.5</v>
      </c>
      <c r="F976" s="633" t="s">
        <v>3816</v>
      </c>
      <c r="G976" s="633" t="s">
        <v>19</v>
      </c>
      <c r="H976" s="633" t="s">
        <v>66</v>
      </c>
      <c r="I976" s="633" t="s">
        <v>316</v>
      </c>
      <c r="J976" s="635">
        <v>44084</v>
      </c>
      <c r="K976" s="623" t="s">
        <v>3817</v>
      </c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70"/>
      <c r="AH976" s="570"/>
      <c r="AI976" s="570"/>
      <c r="AJ976" s="570"/>
      <c r="AK976" s="570"/>
      <c r="AL976" s="570"/>
      <c r="AM976" s="570"/>
      <c r="AN976" s="570"/>
      <c r="AO976" s="570"/>
      <c r="AP976" s="570"/>
      <c r="AQ976" s="570"/>
      <c r="AR976" s="570"/>
      <c r="AS976" s="570"/>
      <c r="AT976" s="570"/>
      <c r="AU976" s="570"/>
    </row>
    <row r="977" spans="1:47" ht="15.75" customHeight="1">
      <c r="A977" s="595">
        <v>44760</v>
      </c>
      <c r="B977" s="632" t="s">
        <v>6767</v>
      </c>
      <c r="C977" s="623" t="s">
        <v>3793</v>
      </c>
      <c r="D977" s="633" t="s">
        <v>921</v>
      </c>
      <c r="E977" s="634">
        <v>39350.99</v>
      </c>
      <c r="F977" s="633" t="s">
        <v>4408</v>
      </c>
      <c r="G977" s="633" t="s">
        <v>19</v>
      </c>
      <c r="H977" s="633" t="s">
        <v>20</v>
      </c>
      <c r="I977" s="633" t="s">
        <v>184</v>
      </c>
      <c r="J977" s="635">
        <v>44615</v>
      </c>
      <c r="K977" s="623" t="s">
        <v>3810</v>
      </c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70"/>
      <c r="AH977" s="570"/>
      <c r="AI977" s="570"/>
      <c r="AJ977" s="570"/>
      <c r="AK977" s="570"/>
      <c r="AL977" s="570"/>
      <c r="AM977" s="570"/>
      <c r="AN977" s="570"/>
      <c r="AO977" s="570"/>
      <c r="AP977" s="570"/>
      <c r="AQ977" s="570"/>
      <c r="AR977" s="570"/>
      <c r="AS977" s="570"/>
      <c r="AT977" s="570"/>
      <c r="AU977" s="570"/>
    </row>
    <row r="978" spans="1:47" ht="15.75" customHeight="1">
      <c r="A978" s="595">
        <v>44760</v>
      </c>
      <c r="B978" s="632" t="s">
        <v>6741</v>
      </c>
      <c r="C978" s="623" t="s">
        <v>3793</v>
      </c>
      <c r="D978" s="633" t="s">
        <v>921</v>
      </c>
      <c r="E978" s="634">
        <v>10000</v>
      </c>
      <c r="F978" s="633" t="s">
        <v>1887</v>
      </c>
      <c r="G978" s="633" t="s">
        <v>19</v>
      </c>
      <c r="H978" s="633" t="s">
        <v>66</v>
      </c>
      <c r="I978" s="633" t="s">
        <v>316</v>
      </c>
      <c r="J978" s="635">
        <v>44744</v>
      </c>
      <c r="K978" s="623" t="s">
        <v>3797</v>
      </c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70"/>
      <c r="AH978" s="570"/>
      <c r="AI978" s="570"/>
      <c r="AJ978" s="570"/>
      <c r="AK978" s="570"/>
      <c r="AL978" s="570"/>
      <c r="AM978" s="570"/>
      <c r="AN978" s="570"/>
      <c r="AO978" s="570"/>
      <c r="AP978" s="570"/>
      <c r="AQ978" s="570"/>
      <c r="AR978" s="570"/>
      <c r="AS978" s="570"/>
      <c r="AT978" s="570"/>
      <c r="AU978" s="570"/>
    </row>
    <row r="979" spans="1:47" ht="15.75" customHeight="1">
      <c r="A979" s="595">
        <v>44760</v>
      </c>
      <c r="B979" s="632" t="s">
        <v>6741</v>
      </c>
      <c r="C979" s="623" t="s">
        <v>3793</v>
      </c>
      <c r="D979" s="633" t="s">
        <v>6343</v>
      </c>
      <c r="E979" s="634">
        <v>10000</v>
      </c>
      <c r="F979" s="633" t="s">
        <v>1887</v>
      </c>
      <c r="G979" s="633" t="s">
        <v>19</v>
      </c>
      <c r="H979" s="633" t="s">
        <v>66</v>
      </c>
      <c r="I979" s="633" t="s">
        <v>316</v>
      </c>
      <c r="J979" s="635" t="s">
        <v>6768</v>
      </c>
      <c r="K979" s="623" t="s">
        <v>3986</v>
      </c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70"/>
      <c r="AH979" s="570"/>
      <c r="AI979" s="570"/>
      <c r="AJ979" s="570"/>
      <c r="AK979" s="570"/>
      <c r="AL979" s="570"/>
      <c r="AM979" s="570"/>
      <c r="AN979" s="570"/>
      <c r="AO979" s="570"/>
      <c r="AP979" s="570"/>
      <c r="AQ979" s="570"/>
      <c r="AR979" s="570"/>
      <c r="AS979" s="570"/>
      <c r="AT979" s="570"/>
      <c r="AU979" s="570"/>
    </row>
    <row r="980" spans="1:47" ht="15.75" customHeight="1">
      <c r="A980" s="595">
        <v>44760</v>
      </c>
      <c r="B980" s="632" t="s">
        <v>6769</v>
      </c>
      <c r="C980" s="623" t="s">
        <v>3793</v>
      </c>
      <c r="D980" s="633" t="s">
        <v>6343</v>
      </c>
      <c r="E980" s="634">
        <v>15000</v>
      </c>
      <c r="F980" s="633" t="s">
        <v>4192</v>
      </c>
      <c r="G980" s="633" t="s">
        <v>19</v>
      </c>
      <c r="H980" s="633" t="s">
        <v>20</v>
      </c>
      <c r="I980" s="633" t="s">
        <v>791</v>
      </c>
      <c r="J980" s="635">
        <v>44462</v>
      </c>
      <c r="K980" s="623" t="s">
        <v>3797</v>
      </c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70"/>
      <c r="AH980" s="570"/>
      <c r="AI980" s="570"/>
      <c r="AJ980" s="570"/>
      <c r="AK980" s="570"/>
      <c r="AL980" s="570"/>
      <c r="AM980" s="570"/>
      <c r="AN980" s="570"/>
      <c r="AO980" s="570"/>
      <c r="AP980" s="570"/>
      <c r="AQ980" s="570"/>
      <c r="AR980" s="570"/>
      <c r="AS980" s="570"/>
      <c r="AT980" s="570"/>
      <c r="AU980" s="570"/>
    </row>
    <row r="981" spans="1:47" ht="15.75" customHeight="1">
      <c r="A981" s="595">
        <v>44761</v>
      </c>
      <c r="B981" s="632" t="s">
        <v>6654</v>
      </c>
      <c r="C981" s="623" t="s">
        <v>3793</v>
      </c>
      <c r="D981" s="633" t="s">
        <v>6343</v>
      </c>
      <c r="E981" s="634">
        <v>27000</v>
      </c>
      <c r="F981" s="633" t="s">
        <v>3959</v>
      </c>
      <c r="G981" s="633" t="s">
        <v>19</v>
      </c>
      <c r="H981" s="633" t="s">
        <v>20</v>
      </c>
      <c r="I981" s="633" t="s">
        <v>3960</v>
      </c>
      <c r="J981" s="635">
        <v>44061</v>
      </c>
      <c r="K981" s="623" t="s">
        <v>3803</v>
      </c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70"/>
      <c r="AH981" s="570"/>
      <c r="AI981" s="570"/>
      <c r="AJ981" s="570"/>
      <c r="AK981" s="570"/>
      <c r="AL981" s="570"/>
      <c r="AM981" s="570"/>
      <c r="AN981" s="570"/>
      <c r="AO981" s="570"/>
      <c r="AP981" s="570"/>
      <c r="AQ981" s="570"/>
      <c r="AR981" s="570"/>
      <c r="AS981" s="570"/>
      <c r="AT981" s="570"/>
      <c r="AU981" s="570"/>
    </row>
    <row r="982" spans="1:47" ht="15.75" customHeight="1">
      <c r="A982" s="595">
        <v>44763</v>
      </c>
      <c r="B982" s="632" t="s">
        <v>6442</v>
      </c>
      <c r="C982" s="623" t="s">
        <v>3793</v>
      </c>
      <c r="D982" s="633" t="s">
        <v>6343</v>
      </c>
      <c r="E982" s="634">
        <v>120000</v>
      </c>
      <c r="F982" s="633" t="s">
        <v>5398</v>
      </c>
      <c r="G982" s="633" t="s">
        <v>46</v>
      </c>
      <c r="H982" s="633" t="s">
        <v>20</v>
      </c>
      <c r="I982" s="633" t="s">
        <v>56</v>
      </c>
      <c r="J982" s="635">
        <v>44134</v>
      </c>
      <c r="K982" s="623" t="s">
        <v>3797</v>
      </c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70"/>
      <c r="AH982" s="570"/>
      <c r="AI982" s="570"/>
      <c r="AJ982" s="570"/>
      <c r="AK982" s="570"/>
      <c r="AL982" s="570"/>
      <c r="AM982" s="570"/>
      <c r="AN982" s="570"/>
      <c r="AO982" s="570"/>
      <c r="AP982" s="570"/>
      <c r="AQ982" s="570"/>
      <c r="AR982" s="570"/>
      <c r="AS982" s="570"/>
      <c r="AT982" s="570"/>
      <c r="AU982" s="570"/>
    </row>
    <row r="983" spans="1:47" ht="15.75" customHeight="1">
      <c r="A983" s="595">
        <v>44763</v>
      </c>
      <c r="B983" s="632" t="s">
        <v>6756</v>
      </c>
      <c r="C983" s="623" t="s">
        <v>3793</v>
      </c>
      <c r="D983" s="633" t="s">
        <v>6343</v>
      </c>
      <c r="E983" s="634">
        <v>10000</v>
      </c>
      <c r="F983" s="633" t="s">
        <v>6757</v>
      </c>
      <c r="G983" s="633" t="s">
        <v>19</v>
      </c>
      <c r="H983" s="633" t="s">
        <v>66</v>
      </c>
      <c r="I983" s="633" t="s">
        <v>144</v>
      </c>
      <c r="J983" s="635">
        <v>44715</v>
      </c>
      <c r="K983" s="623" t="s">
        <v>3813</v>
      </c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70"/>
      <c r="AH983" s="570"/>
      <c r="AI983" s="570"/>
      <c r="AJ983" s="570"/>
      <c r="AK983" s="570"/>
      <c r="AL983" s="570"/>
      <c r="AM983" s="570"/>
      <c r="AN983" s="570"/>
      <c r="AO983" s="570"/>
      <c r="AP983" s="570"/>
      <c r="AQ983" s="570"/>
      <c r="AR983" s="570"/>
      <c r="AS983" s="570"/>
      <c r="AT983" s="570"/>
      <c r="AU983" s="570"/>
    </row>
    <row r="984" spans="1:47" ht="15.75" customHeight="1">
      <c r="A984" s="595">
        <v>44764</v>
      </c>
      <c r="B984" s="632" t="s">
        <v>6770</v>
      </c>
      <c r="C984" s="623" t="s">
        <v>3793</v>
      </c>
      <c r="D984" s="633" t="s">
        <v>956</v>
      </c>
      <c r="E984" s="634">
        <v>82162.42</v>
      </c>
      <c r="F984" s="633" t="s">
        <v>4350</v>
      </c>
      <c r="G984" s="633" t="s">
        <v>19</v>
      </c>
      <c r="H984" s="633" t="s">
        <v>20</v>
      </c>
      <c r="I984" s="633" t="s">
        <v>4351</v>
      </c>
      <c r="J984" s="635">
        <v>44623</v>
      </c>
      <c r="K984" s="623" t="s">
        <v>3810</v>
      </c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70"/>
      <c r="AH984" s="570"/>
      <c r="AI984" s="570"/>
      <c r="AJ984" s="570"/>
      <c r="AK984" s="570"/>
      <c r="AL984" s="570"/>
      <c r="AM984" s="570"/>
      <c r="AN984" s="570"/>
      <c r="AO984" s="570"/>
      <c r="AP984" s="570"/>
      <c r="AQ984" s="570"/>
      <c r="AR984" s="570"/>
      <c r="AS984" s="570"/>
      <c r="AT984" s="570"/>
      <c r="AU984" s="570"/>
    </row>
    <row r="985" spans="1:47" ht="15.75" customHeight="1">
      <c r="A985" s="595">
        <v>44764</v>
      </c>
      <c r="B985" s="632" t="s">
        <v>6771</v>
      </c>
      <c r="C985" s="623" t="s">
        <v>3793</v>
      </c>
      <c r="D985" s="633" t="s">
        <v>956</v>
      </c>
      <c r="E985" s="634">
        <v>545597.31000000006</v>
      </c>
      <c r="F985" s="633" t="s">
        <v>4993</v>
      </c>
      <c r="G985" s="633" t="s">
        <v>19</v>
      </c>
      <c r="H985" s="633" t="s">
        <v>20</v>
      </c>
      <c r="I985" s="633" t="s">
        <v>4351</v>
      </c>
      <c r="J985" s="635">
        <v>44434</v>
      </c>
      <c r="K985" s="623" t="s">
        <v>3810</v>
      </c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70"/>
      <c r="AH985" s="570"/>
      <c r="AI985" s="570"/>
      <c r="AJ985" s="570"/>
      <c r="AK985" s="570"/>
      <c r="AL985" s="570"/>
      <c r="AM985" s="570"/>
      <c r="AN985" s="570"/>
      <c r="AO985" s="570"/>
      <c r="AP985" s="570"/>
      <c r="AQ985" s="570"/>
      <c r="AR985" s="570"/>
      <c r="AS985" s="570"/>
      <c r="AT985" s="570"/>
      <c r="AU985" s="570"/>
    </row>
    <row r="986" spans="1:47" ht="15.75" customHeight="1">
      <c r="A986" s="595">
        <v>44764</v>
      </c>
      <c r="B986" s="632" t="s">
        <v>6674</v>
      </c>
      <c r="C986" s="623" t="s">
        <v>3793</v>
      </c>
      <c r="D986" s="633" t="s">
        <v>6343</v>
      </c>
      <c r="E986" s="634">
        <v>100000</v>
      </c>
      <c r="F986" s="633" t="s">
        <v>3847</v>
      </c>
      <c r="G986" s="633" t="s">
        <v>19</v>
      </c>
      <c r="H986" s="633" t="s">
        <v>66</v>
      </c>
      <c r="I986" s="633" t="s">
        <v>144</v>
      </c>
      <c r="J986" s="635">
        <v>44609</v>
      </c>
      <c r="K986" s="623" t="s">
        <v>3813</v>
      </c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70"/>
      <c r="AH986" s="570"/>
      <c r="AI986" s="570"/>
      <c r="AJ986" s="570"/>
      <c r="AK986" s="570"/>
      <c r="AL986" s="570"/>
      <c r="AM986" s="570"/>
      <c r="AN986" s="570"/>
      <c r="AO986" s="570"/>
      <c r="AP986" s="570"/>
      <c r="AQ986" s="570"/>
      <c r="AR986" s="570"/>
      <c r="AS986" s="570"/>
      <c r="AT986" s="570"/>
      <c r="AU986" s="570"/>
    </row>
    <row r="987" spans="1:47" ht="15.75" customHeight="1">
      <c r="A987" s="595">
        <v>44765</v>
      </c>
      <c r="B987" s="632" t="s">
        <v>6772</v>
      </c>
      <c r="C987" s="623" t="s">
        <v>3793</v>
      </c>
      <c r="D987" s="633" t="s">
        <v>956</v>
      </c>
      <c r="E987" s="634">
        <v>674420.41</v>
      </c>
      <c r="F987" s="633" t="s">
        <v>6773</v>
      </c>
      <c r="G987" s="633" t="s">
        <v>19</v>
      </c>
      <c r="H987" s="633" t="s">
        <v>20</v>
      </c>
      <c r="I987" s="633" t="s">
        <v>4351</v>
      </c>
      <c r="J987" s="635">
        <v>44370</v>
      </c>
      <c r="K987" s="623" t="s">
        <v>3810</v>
      </c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70"/>
      <c r="AH987" s="570"/>
      <c r="AI987" s="570"/>
      <c r="AJ987" s="570"/>
      <c r="AK987" s="570"/>
      <c r="AL987" s="570"/>
      <c r="AM987" s="570"/>
      <c r="AN987" s="570"/>
      <c r="AO987" s="570"/>
      <c r="AP987" s="570"/>
      <c r="AQ987" s="570"/>
      <c r="AR987" s="570"/>
      <c r="AS987" s="570"/>
      <c r="AT987" s="570"/>
      <c r="AU987" s="570"/>
    </row>
    <row r="988" spans="1:47" ht="15.75" customHeight="1">
      <c r="A988" s="595">
        <v>44767</v>
      </c>
      <c r="B988" s="632" t="s">
        <v>6774</v>
      </c>
      <c r="C988" s="623" t="s">
        <v>3793</v>
      </c>
      <c r="D988" s="633" t="s">
        <v>921</v>
      </c>
      <c r="E988" s="634">
        <v>152231.41</v>
      </c>
      <c r="F988" s="633" t="s">
        <v>4330</v>
      </c>
      <c r="G988" s="633" t="s">
        <v>19</v>
      </c>
      <c r="H988" s="633" t="s">
        <v>66</v>
      </c>
      <c r="I988" s="633" t="s">
        <v>316</v>
      </c>
      <c r="J988" s="635">
        <v>44251</v>
      </c>
      <c r="K988" s="623" t="s">
        <v>3817</v>
      </c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70"/>
      <c r="AH988" s="570"/>
      <c r="AI988" s="570"/>
      <c r="AJ988" s="570"/>
      <c r="AK988" s="570"/>
      <c r="AL988" s="570"/>
      <c r="AM988" s="570"/>
      <c r="AN988" s="570"/>
      <c r="AO988" s="570"/>
      <c r="AP988" s="570"/>
      <c r="AQ988" s="570"/>
      <c r="AR988" s="570"/>
      <c r="AS988" s="570"/>
      <c r="AT988" s="570"/>
      <c r="AU988" s="570"/>
    </row>
    <row r="989" spans="1:47" ht="15.75" customHeight="1">
      <c r="A989" s="595">
        <v>44768</v>
      </c>
      <c r="B989" s="632" t="s">
        <v>6678</v>
      </c>
      <c r="C989" s="623" t="s">
        <v>3793</v>
      </c>
      <c r="D989" s="633" t="s">
        <v>6343</v>
      </c>
      <c r="E989" s="634">
        <v>10000</v>
      </c>
      <c r="F989" s="633" t="s">
        <v>4499</v>
      </c>
      <c r="G989" s="633" t="s">
        <v>19</v>
      </c>
      <c r="H989" s="633" t="s">
        <v>66</v>
      </c>
      <c r="I989" s="633" t="s">
        <v>144</v>
      </c>
      <c r="J989" s="635">
        <v>44615</v>
      </c>
      <c r="K989" s="623" t="s">
        <v>3803</v>
      </c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70"/>
      <c r="AH989" s="570"/>
      <c r="AI989" s="570"/>
      <c r="AJ989" s="570"/>
      <c r="AK989" s="570"/>
      <c r="AL989" s="570"/>
      <c r="AM989" s="570"/>
      <c r="AN989" s="570"/>
      <c r="AO989" s="570"/>
      <c r="AP989" s="570"/>
      <c r="AQ989" s="570"/>
      <c r="AR989" s="570"/>
      <c r="AS989" s="570"/>
      <c r="AT989" s="570"/>
      <c r="AU989" s="570"/>
    </row>
    <row r="990" spans="1:47" ht="15.75" customHeight="1">
      <c r="A990" s="595">
        <v>44768</v>
      </c>
      <c r="B990" s="632" t="s">
        <v>6775</v>
      </c>
      <c r="C990" s="623" t="s">
        <v>3793</v>
      </c>
      <c r="D990" s="633" t="s">
        <v>6343</v>
      </c>
      <c r="E990" s="634">
        <v>20000</v>
      </c>
      <c r="F990" s="633" t="s">
        <v>6776</v>
      </c>
      <c r="G990" s="633" t="s">
        <v>19</v>
      </c>
      <c r="H990" s="633" t="s">
        <v>20</v>
      </c>
      <c r="I990" s="633" t="s">
        <v>791</v>
      </c>
      <c r="J990" s="635">
        <v>44460</v>
      </c>
      <c r="K990" s="623" t="s">
        <v>3810</v>
      </c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70"/>
      <c r="AH990" s="570"/>
      <c r="AI990" s="570"/>
      <c r="AJ990" s="570"/>
      <c r="AK990" s="570"/>
      <c r="AL990" s="570"/>
      <c r="AM990" s="570"/>
      <c r="AN990" s="570"/>
      <c r="AO990" s="570"/>
      <c r="AP990" s="570"/>
      <c r="AQ990" s="570"/>
      <c r="AR990" s="570"/>
      <c r="AS990" s="570"/>
      <c r="AT990" s="570"/>
      <c r="AU990" s="570"/>
    </row>
    <row r="991" spans="1:47" ht="15.75" customHeight="1">
      <c r="A991" s="595">
        <v>44768</v>
      </c>
      <c r="B991" s="632" t="s">
        <v>6777</v>
      </c>
      <c r="C991" s="623" t="s">
        <v>3793</v>
      </c>
      <c r="D991" s="633" t="s">
        <v>6343</v>
      </c>
      <c r="E991" s="634">
        <v>3000</v>
      </c>
      <c r="F991" s="633" t="s">
        <v>4731</v>
      </c>
      <c r="G991" s="633" t="s">
        <v>19</v>
      </c>
      <c r="H991" s="633" t="s">
        <v>20</v>
      </c>
      <c r="I991" s="633" t="s">
        <v>3080</v>
      </c>
      <c r="J991" s="635">
        <v>44393</v>
      </c>
      <c r="K991" s="623" t="s">
        <v>3797</v>
      </c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70"/>
      <c r="AH991" s="570"/>
      <c r="AI991" s="570"/>
      <c r="AJ991" s="570"/>
      <c r="AK991" s="570"/>
      <c r="AL991" s="570"/>
      <c r="AM991" s="570"/>
      <c r="AN991" s="570"/>
      <c r="AO991" s="570"/>
      <c r="AP991" s="570"/>
      <c r="AQ991" s="570"/>
      <c r="AR991" s="570"/>
      <c r="AS991" s="570"/>
      <c r="AT991" s="570"/>
      <c r="AU991" s="570"/>
    </row>
    <row r="992" spans="1:47" ht="15.75" customHeight="1">
      <c r="A992" s="595">
        <v>44768</v>
      </c>
      <c r="B992" s="632" t="s">
        <v>6778</v>
      </c>
      <c r="C992" s="623" t="s">
        <v>3793</v>
      </c>
      <c r="D992" s="633" t="s">
        <v>6343</v>
      </c>
      <c r="E992" s="634">
        <v>5000</v>
      </c>
      <c r="F992" s="633" t="s">
        <v>236</v>
      </c>
      <c r="G992" s="633" t="s">
        <v>19</v>
      </c>
      <c r="H992" s="633" t="s">
        <v>20</v>
      </c>
      <c r="I992" s="633" t="s">
        <v>3166</v>
      </c>
      <c r="J992" s="635">
        <v>44335</v>
      </c>
      <c r="K992" s="623" t="s">
        <v>3850</v>
      </c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70"/>
      <c r="AH992" s="570"/>
      <c r="AI992" s="570"/>
      <c r="AJ992" s="570"/>
      <c r="AK992" s="570"/>
      <c r="AL992" s="570"/>
      <c r="AM992" s="570"/>
      <c r="AN992" s="570"/>
      <c r="AO992" s="570"/>
      <c r="AP992" s="570"/>
      <c r="AQ992" s="570"/>
      <c r="AR992" s="570"/>
      <c r="AS992" s="570"/>
      <c r="AT992" s="570"/>
      <c r="AU992" s="570"/>
    </row>
    <row r="993" spans="1:47" ht="15.75" customHeight="1">
      <c r="A993" s="595">
        <v>44768</v>
      </c>
      <c r="B993" s="632" t="s">
        <v>6779</v>
      </c>
      <c r="C993" s="623" t="s">
        <v>3793</v>
      </c>
      <c r="D993" s="633" t="s">
        <v>6343</v>
      </c>
      <c r="E993" s="634">
        <v>18000</v>
      </c>
      <c r="F993" s="633" t="s">
        <v>4305</v>
      </c>
      <c r="G993" s="633" t="s">
        <v>19</v>
      </c>
      <c r="H993" s="633" t="s">
        <v>66</v>
      </c>
      <c r="I993" s="633" t="s">
        <v>4142</v>
      </c>
      <c r="J993" s="635">
        <v>44503</v>
      </c>
      <c r="K993" s="623" t="s">
        <v>3850</v>
      </c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70"/>
      <c r="AH993" s="570"/>
      <c r="AI993" s="570"/>
      <c r="AJ993" s="570"/>
      <c r="AK993" s="570"/>
      <c r="AL993" s="570"/>
      <c r="AM993" s="570"/>
      <c r="AN993" s="570"/>
      <c r="AO993" s="570"/>
      <c r="AP993" s="570"/>
      <c r="AQ993" s="570"/>
      <c r="AR993" s="570"/>
      <c r="AS993" s="570"/>
      <c r="AT993" s="570"/>
      <c r="AU993" s="570"/>
    </row>
    <row r="994" spans="1:47" ht="15.75" customHeight="1">
      <c r="A994" s="595">
        <v>44769</v>
      </c>
      <c r="B994" s="632" t="s">
        <v>6780</v>
      </c>
      <c r="C994" s="623" t="s">
        <v>3793</v>
      </c>
      <c r="D994" s="633" t="s">
        <v>956</v>
      </c>
      <c r="E994" s="634">
        <v>101231.24</v>
      </c>
      <c r="F994" s="633" t="s">
        <v>4241</v>
      </c>
      <c r="G994" s="633" t="s">
        <v>19</v>
      </c>
      <c r="H994" s="633" t="s">
        <v>66</v>
      </c>
      <c r="I994" s="633" t="s">
        <v>4142</v>
      </c>
      <c r="J994" s="635">
        <v>44462</v>
      </c>
      <c r="K994" s="623" t="s">
        <v>3803</v>
      </c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70"/>
      <c r="AH994" s="570"/>
      <c r="AI994" s="570"/>
      <c r="AJ994" s="570"/>
      <c r="AK994" s="570"/>
      <c r="AL994" s="570"/>
      <c r="AM994" s="570"/>
      <c r="AN994" s="570"/>
      <c r="AO994" s="570"/>
      <c r="AP994" s="570"/>
      <c r="AQ994" s="570"/>
      <c r="AR994" s="570"/>
      <c r="AS994" s="570"/>
      <c r="AT994" s="570"/>
      <c r="AU994" s="570"/>
    </row>
    <row r="995" spans="1:47" ht="15.75" customHeight="1">
      <c r="A995" s="595">
        <v>44769</v>
      </c>
      <c r="B995" s="632" t="s">
        <v>3636</v>
      </c>
      <c r="C995" s="623" t="s">
        <v>3613</v>
      </c>
      <c r="D995" s="633" t="s">
        <v>6343</v>
      </c>
      <c r="E995" s="634">
        <v>8500</v>
      </c>
      <c r="F995" s="633" t="s">
        <v>3635</v>
      </c>
      <c r="G995" s="633" t="s">
        <v>19</v>
      </c>
      <c r="H995" s="633" t="s">
        <v>20</v>
      </c>
      <c r="I995" s="633" t="s">
        <v>6246</v>
      </c>
      <c r="J995" s="635">
        <v>44062</v>
      </c>
      <c r="K995" s="623" t="s">
        <v>3803</v>
      </c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70"/>
      <c r="AH995" s="570"/>
      <c r="AI995" s="570"/>
      <c r="AJ995" s="570"/>
      <c r="AK995" s="570"/>
      <c r="AL995" s="570"/>
      <c r="AM995" s="570"/>
      <c r="AN995" s="570"/>
      <c r="AO995" s="570"/>
      <c r="AP995" s="570"/>
      <c r="AQ995" s="570"/>
      <c r="AR995" s="570"/>
      <c r="AS995" s="570"/>
      <c r="AT995" s="570"/>
      <c r="AU995" s="570"/>
    </row>
    <row r="996" spans="1:47" ht="15.75" customHeight="1">
      <c r="A996" s="595">
        <v>44769</v>
      </c>
      <c r="B996" s="632" t="s">
        <v>6691</v>
      </c>
      <c r="C996" s="623" t="s">
        <v>3793</v>
      </c>
      <c r="D996" s="633" t="s">
        <v>6343</v>
      </c>
      <c r="E996" s="634">
        <v>90000</v>
      </c>
      <c r="F996" s="633" t="s">
        <v>6692</v>
      </c>
      <c r="G996" s="633" t="s">
        <v>19</v>
      </c>
      <c r="H996" s="633" t="s">
        <v>66</v>
      </c>
      <c r="I996" s="633" t="s">
        <v>144</v>
      </c>
      <c r="J996" s="635">
        <v>44645</v>
      </c>
      <c r="K996" s="623" t="s">
        <v>3803</v>
      </c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70"/>
      <c r="AH996" s="570"/>
      <c r="AI996" s="570"/>
      <c r="AJ996" s="570"/>
      <c r="AK996" s="570"/>
      <c r="AL996" s="570"/>
      <c r="AM996" s="570"/>
      <c r="AN996" s="570"/>
      <c r="AO996" s="570"/>
      <c r="AP996" s="570"/>
      <c r="AQ996" s="570"/>
      <c r="AR996" s="570"/>
      <c r="AS996" s="570"/>
      <c r="AT996" s="570"/>
      <c r="AU996" s="570"/>
    </row>
    <row r="997" spans="1:47" ht="15.75" customHeight="1">
      <c r="A997" s="595">
        <v>44769</v>
      </c>
      <c r="B997" s="632" t="s">
        <v>6781</v>
      </c>
      <c r="C997" s="623" t="s">
        <v>3793</v>
      </c>
      <c r="D997" s="633" t="s">
        <v>956</v>
      </c>
      <c r="E997" s="634">
        <v>5000</v>
      </c>
      <c r="F997" s="633" t="s">
        <v>4913</v>
      </c>
      <c r="G997" s="633" t="s">
        <v>19</v>
      </c>
      <c r="H997" s="633" t="s">
        <v>66</v>
      </c>
      <c r="I997" s="633" t="s">
        <v>316</v>
      </c>
      <c r="J997" s="635">
        <v>44619</v>
      </c>
      <c r="K997" s="623" t="s">
        <v>3817</v>
      </c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70"/>
      <c r="AH997" s="570"/>
      <c r="AI997" s="570"/>
      <c r="AJ997" s="570"/>
      <c r="AK997" s="570"/>
      <c r="AL997" s="570"/>
      <c r="AM997" s="570"/>
      <c r="AN997" s="570"/>
      <c r="AO997" s="570"/>
      <c r="AP997" s="570"/>
      <c r="AQ997" s="570"/>
      <c r="AR997" s="570"/>
      <c r="AS997" s="570"/>
      <c r="AT997" s="570"/>
      <c r="AU997" s="570"/>
    </row>
    <row r="998" spans="1:47" ht="15.75" customHeight="1">
      <c r="A998" s="575">
        <v>44769</v>
      </c>
      <c r="B998" s="636" t="s">
        <v>6782</v>
      </c>
      <c r="C998" s="637" t="s">
        <v>3793</v>
      </c>
      <c r="D998" s="624" t="s">
        <v>6343</v>
      </c>
      <c r="E998" s="638">
        <v>55000</v>
      </c>
      <c r="F998" s="624" t="s">
        <v>2145</v>
      </c>
      <c r="G998" s="626" t="s">
        <v>19</v>
      </c>
      <c r="H998" s="626" t="s">
        <v>66</v>
      </c>
      <c r="I998" s="626" t="s">
        <v>144</v>
      </c>
      <c r="J998" s="626">
        <v>44613</v>
      </c>
      <c r="K998" s="626" t="s">
        <v>4024</v>
      </c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70"/>
      <c r="AH998" s="570"/>
      <c r="AI998" s="570"/>
      <c r="AJ998" s="570"/>
      <c r="AK998" s="570"/>
      <c r="AL998" s="570"/>
      <c r="AM998" s="570"/>
      <c r="AN998" s="570"/>
      <c r="AO998" s="570"/>
      <c r="AP998" s="570"/>
      <c r="AQ998" s="570"/>
      <c r="AR998" s="570"/>
      <c r="AS998" s="570"/>
      <c r="AT998" s="570"/>
      <c r="AU998" s="570"/>
    </row>
    <row r="999" spans="1:47" ht="15.75" customHeight="1">
      <c r="A999" s="575">
        <v>44769</v>
      </c>
      <c r="B999" s="636" t="s">
        <v>6783</v>
      </c>
      <c r="C999" s="637" t="s">
        <v>3793</v>
      </c>
      <c r="D999" s="624" t="s">
        <v>6343</v>
      </c>
      <c r="E999" s="638">
        <v>10000</v>
      </c>
      <c r="F999" s="624" t="s">
        <v>6784</v>
      </c>
      <c r="G999" s="626" t="s">
        <v>19</v>
      </c>
      <c r="H999" s="626" t="s">
        <v>66</v>
      </c>
      <c r="I999" s="626" t="s">
        <v>316</v>
      </c>
      <c r="J999" s="626">
        <v>44824</v>
      </c>
      <c r="K999" s="626" t="s">
        <v>3810</v>
      </c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70"/>
      <c r="AH999" s="570"/>
      <c r="AI999" s="570"/>
      <c r="AJ999" s="570"/>
      <c r="AK999" s="570"/>
      <c r="AL999" s="570"/>
      <c r="AM999" s="570"/>
      <c r="AN999" s="570"/>
      <c r="AO999" s="570"/>
      <c r="AP999" s="570"/>
      <c r="AQ999" s="570"/>
      <c r="AR999" s="570"/>
      <c r="AS999" s="570"/>
      <c r="AT999" s="570"/>
      <c r="AU999" s="570"/>
    </row>
    <row r="1000" spans="1:47" ht="15.75" customHeight="1">
      <c r="A1000" s="595">
        <v>44774</v>
      </c>
      <c r="B1000" s="632" t="s">
        <v>6414</v>
      </c>
      <c r="C1000" s="623" t="s">
        <v>3793</v>
      </c>
      <c r="D1000" s="633" t="s">
        <v>6343</v>
      </c>
      <c r="E1000" s="634">
        <v>25000</v>
      </c>
      <c r="F1000" s="633" t="s">
        <v>4381</v>
      </c>
      <c r="G1000" s="633" t="s">
        <v>46</v>
      </c>
      <c r="H1000" s="633" t="s">
        <v>20</v>
      </c>
      <c r="I1000" s="633" t="s">
        <v>3870</v>
      </c>
      <c r="J1000" s="635">
        <v>44263</v>
      </c>
      <c r="K1000" s="623" t="s">
        <v>3803</v>
      </c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70"/>
      <c r="AH1000" s="570"/>
      <c r="AI1000" s="570"/>
      <c r="AJ1000" s="570"/>
      <c r="AK1000" s="570"/>
      <c r="AL1000" s="570"/>
      <c r="AM1000" s="570"/>
      <c r="AN1000" s="570"/>
      <c r="AO1000" s="570"/>
      <c r="AP1000" s="570"/>
      <c r="AQ1000" s="570"/>
      <c r="AR1000" s="570"/>
      <c r="AS1000" s="570"/>
      <c r="AT1000" s="570"/>
      <c r="AU1000" s="570"/>
    </row>
    <row r="1001" spans="1:47" ht="15.75" customHeight="1">
      <c r="A1001" s="595">
        <v>44774</v>
      </c>
      <c r="B1001" s="632" t="s">
        <v>6785</v>
      </c>
      <c r="C1001" s="623" t="s">
        <v>3793</v>
      </c>
      <c r="D1001" s="633" t="s">
        <v>956</v>
      </c>
      <c r="E1001" s="634">
        <v>120608.02</v>
      </c>
      <c r="F1001" s="633" t="s">
        <v>6786</v>
      </c>
      <c r="G1001" s="633" t="s">
        <v>19</v>
      </c>
      <c r="H1001" s="633" t="s">
        <v>20</v>
      </c>
      <c r="I1001" s="633" t="s">
        <v>4351</v>
      </c>
      <c r="J1001" s="635">
        <v>44623</v>
      </c>
      <c r="K1001" s="623" t="s">
        <v>3810</v>
      </c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  <c r="AB1001" s="570"/>
      <c r="AC1001" s="570"/>
      <c r="AD1001" s="570"/>
      <c r="AE1001" s="570"/>
      <c r="AF1001" s="570"/>
      <c r="AG1001" s="570"/>
      <c r="AH1001" s="570"/>
      <c r="AI1001" s="570"/>
      <c r="AJ1001" s="570"/>
      <c r="AK1001" s="570"/>
      <c r="AL1001" s="570"/>
      <c r="AM1001" s="570"/>
      <c r="AN1001" s="570"/>
      <c r="AO1001" s="570"/>
      <c r="AP1001" s="570"/>
      <c r="AQ1001" s="570"/>
      <c r="AR1001" s="570"/>
      <c r="AS1001" s="570"/>
      <c r="AT1001" s="570"/>
      <c r="AU1001" s="570"/>
    </row>
    <row r="1002" spans="1:47" ht="15.75" customHeight="1">
      <c r="A1002" s="595">
        <v>44775</v>
      </c>
      <c r="B1002" s="632" t="s">
        <v>6787</v>
      </c>
      <c r="C1002" s="623" t="s">
        <v>3793</v>
      </c>
      <c r="D1002" s="633" t="s">
        <v>956</v>
      </c>
      <c r="E1002" s="634">
        <v>181532.44</v>
      </c>
      <c r="F1002" s="633" t="s">
        <v>4803</v>
      </c>
      <c r="G1002" s="633" t="s">
        <v>19</v>
      </c>
      <c r="H1002" s="633" t="s">
        <v>66</v>
      </c>
      <c r="I1002" s="633" t="s">
        <v>4804</v>
      </c>
      <c r="J1002" s="635">
        <v>44376</v>
      </c>
      <c r="K1002" s="623" t="s">
        <v>3817</v>
      </c>
      <c r="L1002" s="570"/>
      <c r="M1002" s="570"/>
      <c r="N1002" s="570"/>
      <c r="O1002" s="570"/>
      <c r="P1002" s="570"/>
      <c r="Q1002" s="570"/>
      <c r="R1002" s="570"/>
      <c r="S1002" s="570"/>
      <c r="T1002" s="570"/>
      <c r="U1002" s="570"/>
      <c r="V1002" s="570"/>
      <c r="W1002" s="570"/>
      <c r="X1002" s="570"/>
      <c r="Y1002" s="570"/>
      <c r="Z1002" s="570"/>
      <c r="AA1002" s="570"/>
      <c r="AB1002" s="570"/>
      <c r="AC1002" s="570"/>
      <c r="AD1002" s="570"/>
      <c r="AE1002" s="570"/>
      <c r="AF1002" s="570"/>
      <c r="AG1002" s="570"/>
      <c r="AH1002" s="570"/>
      <c r="AI1002" s="570"/>
      <c r="AJ1002" s="570"/>
      <c r="AK1002" s="570"/>
      <c r="AL1002" s="570"/>
      <c r="AM1002" s="570"/>
      <c r="AN1002" s="570"/>
      <c r="AO1002" s="570"/>
      <c r="AP1002" s="570"/>
      <c r="AQ1002" s="570"/>
      <c r="AR1002" s="570"/>
      <c r="AS1002" s="570"/>
      <c r="AT1002" s="570"/>
      <c r="AU1002" s="570"/>
    </row>
    <row r="1003" spans="1:47" ht="15.75" customHeight="1">
      <c r="A1003" s="595">
        <v>44776</v>
      </c>
      <c r="B1003" s="632" t="s">
        <v>6720</v>
      </c>
      <c r="C1003" s="623" t="s">
        <v>3793</v>
      </c>
      <c r="D1003" s="633" t="s">
        <v>6343</v>
      </c>
      <c r="E1003" s="634">
        <v>200000</v>
      </c>
      <c r="F1003" s="633" t="s">
        <v>6721</v>
      </c>
      <c r="G1003" s="633" t="s">
        <v>19</v>
      </c>
      <c r="H1003" s="633" t="s">
        <v>66</v>
      </c>
      <c r="I1003" s="633" t="s">
        <v>6328</v>
      </c>
      <c r="J1003" s="635">
        <v>44454</v>
      </c>
      <c r="K1003" s="623" t="s">
        <v>3803</v>
      </c>
      <c r="L1003" s="570"/>
      <c r="M1003" s="570"/>
      <c r="N1003" s="570"/>
      <c r="O1003" s="570"/>
      <c r="P1003" s="570"/>
      <c r="Q1003" s="570"/>
      <c r="R1003" s="570"/>
      <c r="S1003" s="570"/>
      <c r="T1003" s="570"/>
      <c r="U1003" s="570"/>
      <c r="V1003" s="570"/>
      <c r="W1003" s="570"/>
      <c r="X1003" s="570"/>
      <c r="Y1003" s="570"/>
      <c r="Z1003" s="570"/>
      <c r="AA1003" s="570"/>
      <c r="AB1003" s="570"/>
      <c r="AC1003" s="570"/>
      <c r="AD1003" s="570"/>
      <c r="AE1003" s="570"/>
      <c r="AF1003" s="570"/>
      <c r="AG1003" s="570"/>
      <c r="AH1003" s="570"/>
      <c r="AI1003" s="570"/>
      <c r="AJ1003" s="570"/>
      <c r="AK1003" s="570"/>
      <c r="AL1003" s="570"/>
      <c r="AM1003" s="570"/>
      <c r="AN1003" s="570"/>
      <c r="AO1003" s="570"/>
      <c r="AP1003" s="570"/>
      <c r="AQ1003" s="570"/>
      <c r="AR1003" s="570"/>
      <c r="AS1003" s="570"/>
      <c r="AT1003" s="570"/>
      <c r="AU1003" s="570"/>
    </row>
    <row r="1004" spans="1:47" ht="15.75" customHeight="1">
      <c r="A1004" s="595">
        <v>44777</v>
      </c>
      <c r="B1004" s="632" t="s">
        <v>6788</v>
      </c>
      <c r="C1004" s="623" t="s">
        <v>3793</v>
      </c>
      <c r="D1004" s="633" t="s">
        <v>6343</v>
      </c>
      <c r="E1004" s="634">
        <v>25000</v>
      </c>
      <c r="F1004" s="633" t="s">
        <v>4943</v>
      </c>
      <c r="G1004" s="633" t="s">
        <v>19</v>
      </c>
      <c r="H1004" s="633" t="s">
        <v>20</v>
      </c>
      <c r="I1004" s="633" t="s">
        <v>21</v>
      </c>
      <c r="J1004" s="635">
        <v>44385</v>
      </c>
      <c r="K1004" s="623" t="s">
        <v>3850</v>
      </c>
      <c r="L1004" s="570"/>
      <c r="M1004" s="570"/>
      <c r="N1004" s="570"/>
      <c r="O1004" s="570"/>
      <c r="P1004" s="570"/>
      <c r="Q1004" s="570"/>
      <c r="R1004" s="570"/>
      <c r="S1004" s="570"/>
      <c r="T1004" s="570"/>
      <c r="U1004" s="570"/>
      <c r="V1004" s="570"/>
      <c r="W1004" s="570"/>
      <c r="X1004" s="570"/>
      <c r="Y1004" s="570"/>
      <c r="Z1004" s="570"/>
      <c r="AA1004" s="570"/>
      <c r="AB1004" s="570"/>
      <c r="AC1004" s="570"/>
      <c r="AD1004" s="570"/>
      <c r="AE1004" s="570"/>
      <c r="AF1004" s="570"/>
      <c r="AG1004" s="570"/>
      <c r="AH1004" s="570"/>
      <c r="AI1004" s="570"/>
      <c r="AJ1004" s="570"/>
      <c r="AK1004" s="570"/>
      <c r="AL1004" s="570"/>
      <c r="AM1004" s="570"/>
      <c r="AN1004" s="570"/>
      <c r="AO1004" s="570"/>
      <c r="AP1004" s="570"/>
      <c r="AQ1004" s="570"/>
      <c r="AR1004" s="570"/>
      <c r="AS1004" s="570"/>
      <c r="AT1004" s="570"/>
      <c r="AU1004" s="570"/>
    </row>
    <row r="1005" spans="1:47" ht="15.75" customHeight="1">
      <c r="A1005" s="595">
        <v>44777</v>
      </c>
      <c r="B1005" s="632" t="s">
        <v>6774</v>
      </c>
      <c r="C1005" s="623" t="s">
        <v>3793</v>
      </c>
      <c r="D1005" s="633" t="s">
        <v>956</v>
      </c>
      <c r="E1005" s="634">
        <v>1473.07</v>
      </c>
      <c r="F1005" s="633" t="s">
        <v>4330</v>
      </c>
      <c r="G1005" s="633" t="s">
        <v>19</v>
      </c>
      <c r="H1005" s="633" t="s">
        <v>66</v>
      </c>
      <c r="I1005" s="633" t="s">
        <v>316</v>
      </c>
      <c r="J1005" s="635">
        <v>44251</v>
      </c>
      <c r="K1005" s="623" t="s">
        <v>3817</v>
      </c>
      <c r="L1005" s="570"/>
      <c r="M1005" s="570"/>
      <c r="N1005" s="570"/>
      <c r="O1005" s="570"/>
      <c r="P1005" s="570"/>
      <c r="Q1005" s="570"/>
      <c r="R1005" s="570"/>
      <c r="S1005" s="570"/>
      <c r="T1005" s="570"/>
      <c r="U1005" s="570"/>
      <c r="V1005" s="570"/>
      <c r="W1005" s="570"/>
      <c r="X1005" s="570"/>
      <c r="Y1005" s="570"/>
      <c r="Z1005" s="570"/>
      <c r="AA1005" s="570"/>
      <c r="AB1005" s="570"/>
      <c r="AC1005" s="570"/>
      <c r="AD1005" s="570"/>
      <c r="AE1005" s="570"/>
      <c r="AF1005" s="570"/>
      <c r="AG1005" s="570"/>
      <c r="AH1005" s="570"/>
      <c r="AI1005" s="570"/>
      <c r="AJ1005" s="570"/>
      <c r="AK1005" s="570"/>
      <c r="AL1005" s="570"/>
      <c r="AM1005" s="570"/>
      <c r="AN1005" s="570"/>
      <c r="AO1005" s="570"/>
      <c r="AP1005" s="570"/>
      <c r="AQ1005" s="570"/>
      <c r="AR1005" s="570"/>
      <c r="AS1005" s="570"/>
      <c r="AT1005" s="570"/>
      <c r="AU1005" s="570"/>
    </row>
    <row r="1006" spans="1:47" ht="15.75" customHeight="1">
      <c r="A1006" s="595">
        <v>44777</v>
      </c>
      <c r="B1006" s="632" t="s">
        <v>6730</v>
      </c>
      <c r="C1006" s="623" t="s">
        <v>2929</v>
      </c>
      <c r="D1006" s="633" t="s">
        <v>956</v>
      </c>
      <c r="E1006" s="634">
        <v>74385.52</v>
      </c>
      <c r="F1006" s="633" t="s">
        <v>3332</v>
      </c>
      <c r="G1006" s="633" t="s">
        <v>19</v>
      </c>
      <c r="H1006" s="633" t="s">
        <v>35</v>
      </c>
      <c r="I1006" s="633" t="s">
        <v>2979</v>
      </c>
      <c r="J1006" s="635">
        <v>44568</v>
      </c>
      <c r="K1006" s="623" t="s">
        <v>3810</v>
      </c>
      <c r="L1006" s="570"/>
      <c r="M1006" s="570"/>
      <c r="N1006" s="570"/>
      <c r="O1006" s="570"/>
      <c r="P1006" s="570"/>
      <c r="Q1006" s="570"/>
      <c r="R1006" s="570"/>
      <c r="S1006" s="570"/>
      <c r="T1006" s="570"/>
      <c r="U1006" s="570"/>
      <c r="V1006" s="570"/>
      <c r="W1006" s="570"/>
      <c r="X1006" s="570"/>
      <c r="Y1006" s="570"/>
      <c r="Z1006" s="570"/>
      <c r="AA1006" s="570"/>
      <c r="AB1006" s="570"/>
      <c r="AC1006" s="570"/>
      <c r="AD1006" s="570"/>
      <c r="AE1006" s="570"/>
      <c r="AF1006" s="570"/>
      <c r="AG1006" s="570"/>
      <c r="AH1006" s="570"/>
      <c r="AI1006" s="570"/>
      <c r="AJ1006" s="570"/>
      <c r="AK1006" s="570"/>
      <c r="AL1006" s="570"/>
      <c r="AM1006" s="570"/>
      <c r="AN1006" s="570"/>
      <c r="AO1006" s="570"/>
      <c r="AP1006" s="570"/>
      <c r="AQ1006" s="570"/>
      <c r="AR1006" s="570"/>
      <c r="AS1006" s="570"/>
      <c r="AT1006" s="570"/>
      <c r="AU1006" s="570"/>
    </row>
    <row r="1007" spans="1:47" ht="15.75" customHeight="1">
      <c r="A1007" s="595">
        <v>44781</v>
      </c>
      <c r="B1007" s="632" t="s">
        <v>6789</v>
      </c>
      <c r="C1007" s="623" t="s">
        <v>3793</v>
      </c>
      <c r="D1007" s="633" t="s">
        <v>6343</v>
      </c>
      <c r="E1007" s="634">
        <v>7000</v>
      </c>
      <c r="F1007" s="633" t="s">
        <v>6790</v>
      </c>
      <c r="G1007" s="633" t="s">
        <v>19</v>
      </c>
      <c r="H1007" s="633" t="s">
        <v>66</v>
      </c>
      <c r="I1007" s="633" t="s">
        <v>144</v>
      </c>
      <c r="J1007" s="635">
        <v>44673</v>
      </c>
      <c r="K1007" s="623" t="s">
        <v>3813</v>
      </c>
      <c r="L1007" s="570"/>
      <c r="M1007" s="570"/>
      <c r="N1007" s="570"/>
      <c r="O1007" s="570"/>
      <c r="P1007" s="570"/>
      <c r="Q1007" s="570"/>
      <c r="R1007" s="570"/>
      <c r="S1007" s="570"/>
      <c r="T1007" s="570"/>
      <c r="U1007" s="570"/>
      <c r="V1007" s="570"/>
      <c r="W1007" s="570"/>
      <c r="X1007" s="570"/>
      <c r="Y1007" s="570"/>
      <c r="Z1007" s="570"/>
      <c r="AA1007" s="570"/>
      <c r="AB1007" s="570"/>
      <c r="AC1007" s="570"/>
      <c r="AD1007" s="570"/>
      <c r="AE1007" s="570"/>
      <c r="AF1007" s="570"/>
      <c r="AG1007" s="570"/>
      <c r="AH1007" s="570"/>
      <c r="AI1007" s="570"/>
      <c r="AJ1007" s="570"/>
      <c r="AK1007" s="570"/>
      <c r="AL1007" s="570"/>
      <c r="AM1007" s="570"/>
      <c r="AN1007" s="570"/>
      <c r="AO1007" s="570"/>
      <c r="AP1007" s="570"/>
      <c r="AQ1007" s="570"/>
      <c r="AR1007" s="570"/>
      <c r="AS1007" s="570"/>
      <c r="AT1007" s="570"/>
      <c r="AU1007" s="570"/>
    </row>
    <row r="1008" spans="1:47" ht="15.75" customHeight="1">
      <c r="A1008" s="595">
        <v>44781</v>
      </c>
      <c r="B1008" s="632" t="s">
        <v>6791</v>
      </c>
      <c r="C1008" s="623" t="s">
        <v>3793</v>
      </c>
      <c r="D1008" s="633" t="s">
        <v>956</v>
      </c>
      <c r="E1008" s="634">
        <v>157156.82</v>
      </c>
      <c r="F1008" s="633" t="s">
        <v>6792</v>
      </c>
      <c r="G1008" s="633" t="s">
        <v>19</v>
      </c>
      <c r="H1008" s="633" t="s">
        <v>20</v>
      </c>
      <c r="I1008" s="633" t="s">
        <v>935</v>
      </c>
      <c r="J1008" s="635">
        <v>44277</v>
      </c>
      <c r="K1008" s="623" t="s">
        <v>3813</v>
      </c>
      <c r="L1008" s="570"/>
      <c r="M1008" s="570"/>
      <c r="N1008" s="570"/>
      <c r="O1008" s="570"/>
      <c r="P1008" s="570"/>
      <c r="Q1008" s="570"/>
      <c r="R1008" s="570"/>
      <c r="S1008" s="570"/>
      <c r="T1008" s="570"/>
      <c r="U1008" s="570"/>
      <c r="V1008" s="570"/>
      <c r="W1008" s="570"/>
      <c r="X1008" s="570"/>
      <c r="Y1008" s="570"/>
      <c r="Z1008" s="570"/>
      <c r="AA1008" s="570"/>
      <c r="AB1008" s="570"/>
      <c r="AC1008" s="570"/>
      <c r="AD1008" s="570"/>
      <c r="AE1008" s="570"/>
      <c r="AF1008" s="570"/>
      <c r="AG1008" s="570"/>
      <c r="AH1008" s="570"/>
      <c r="AI1008" s="570"/>
      <c r="AJ1008" s="570"/>
      <c r="AK1008" s="570"/>
      <c r="AL1008" s="570"/>
      <c r="AM1008" s="570"/>
      <c r="AN1008" s="570"/>
      <c r="AO1008" s="570"/>
      <c r="AP1008" s="570"/>
      <c r="AQ1008" s="570"/>
      <c r="AR1008" s="570"/>
      <c r="AS1008" s="570"/>
      <c r="AT1008" s="570"/>
      <c r="AU1008" s="570"/>
    </row>
    <row r="1009" spans="1:47" ht="15.75" customHeight="1">
      <c r="A1009" s="595">
        <v>44781</v>
      </c>
      <c r="B1009" s="632" t="s">
        <v>6793</v>
      </c>
      <c r="C1009" s="623" t="s">
        <v>2929</v>
      </c>
      <c r="D1009" s="633" t="s">
        <v>956</v>
      </c>
      <c r="E1009" s="634">
        <v>101893.24</v>
      </c>
      <c r="F1009" s="633" t="s">
        <v>3132</v>
      </c>
      <c r="G1009" s="633" t="s">
        <v>19</v>
      </c>
      <c r="H1009" s="633" t="s">
        <v>35</v>
      </c>
      <c r="I1009" s="633" t="s">
        <v>199</v>
      </c>
      <c r="J1009" s="635">
        <v>44365</v>
      </c>
      <c r="K1009" s="623" t="s">
        <v>3803</v>
      </c>
      <c r="L1009" s="570"/>
      <c r="M1009" s="570"/>
      <c r="N1009" s="570"/>
      <c r="O1009" s="570"/>
      <c r="P1009" s="570"/>
      <c r="Q1009" s="570"/>
      <c r="R1009" s="570"/>
      <c r="S1009" s="570"/>
      <c r="T1009" s="570"/>
      <c r="U1009" s="570"/>
      <c r="V1009" s="570"/>
      <c r="W1009" s="570"/>
      <c r="X1009" s="570"/>
      <c r="Y1009" s="570"/>
      <c r="Z1009" s="570"/>
      <c r="AA1009" s="570"/>
      <c r="AB1009" s="570"/>
      <c r="AC1009" s="570"/>
      <c r="AD1009" s="570"/>
      <c r="AE1009" s="570"/>
      <c r="AF1009" s="570"/>
      <c r="AG1009" s="570"/>
      <c r="AH1009" s="570"/>
      <c r="AI1009" s="570"/>
      <c r="AJ1009" s="570"/>
      <c r="AK1009" s="570"/>
      <c r="AL1009" s="570"/>
      <c r="AM1009" s="570"/>
      <c r="AN1009" s="570"/>
      <c r="AO1009" s="570"/>
      <c r="AP1009" s="570"/>
      <c r="AQ1009" s="570"/>
      <c r="AR1009" s="570"/>
      <c r="AS1009" s="570"/>
      <c r="AT1009" s="570"/>
      <c r="AU1009" s="570"/>
    </row>
    <row r="1010" spans="1:47" ht="15.75" customHeight="1">
      <c r="A1010" s="595">
        <v>44783</v>
      </c>
      <c r="B1010" s="632" t="s">
        <v>6634</v>
      </c>
      <c r="C1010" s="623" t="s">
        <v>3793</v>
      </c>
      <c r="D1010" s="633" t="s">
        <v>6343</v>
      </c>
      <c r="E1010" s="634">
        <v>5500</v>
      </c>
      <c r="F1010" s="633" t="s">
        <v>2460</v>
      </c>
      <c r="G1010" s="633" t="s">
        <v>19</v>
      </c>
      <c r="H1010" s="633" t="s">
        <v>20</v>
      </c>
      <c r="I1010" s="633" t="s">
        <v>3080</v>
      </c>
      <c r="J1010" s="635">
        <v>44293</v>
      </c>
      <c r="K1010" s="623" t="s">
        <v>3797</v>
      </c>
      <c r="L1010" s="570"/>
      <c r="M1010" s="570"/>
      <c r="N1010" s="570"/>
      <c r="O1010" s="570"/>
      <c r="P1010" s="570"/>
      <c r="Q1010" s="570"/>
      <c r="R1010" s="570"/>
      <c r="S1010" s="570"/>
      <c r="T1010" s="570"/>
      <c r="U1010" s="570"/>
      <c r="V1010" s="570"/>
      <c r="W1010" s="570"/>
      <c r="X1010" s="570"/>
      <c r="Y1010" s="570"/>
      <c r="Z1010" s="570"/>
      <c r="AA1010" s="570"/>
      <c r="AB1010" s="570"/>
      <c r="AC1010" s="570"/>
      <c r="AD1010" s="570"/>
      <c r="AE1010" s="570"/>
      <c r="AF1010" s="570"/>
      <c r="AG1010" s="570"/>
      <c r="AH1010" s="570"/>
      <c r="AI1010" s="570"/>
      <c r="AJ1010" s="570"/>
      <c r="AK1010" s="570"/>
      <c r="AL1010" s="570"/>
      <c r="AM1010" s="570"/>
      <c r="AN1010" s="570"/>
      <c r="AO1010" s="570"/>
      <c r="AP1010" s="570"/>
      <c r="AQ1010" s="570"/>
      <c r="AR1010" s="570"/>
      <c r="AS1010" s="570"/>
      <c r="AT1010" s="570"/>
      <c r="AU1010" s="570"/>
    </row>
    <row r="1011" spans="1:47" ht="15.75" customHeight="1">
      <c r="A1011" s="595">
        <v>44783</v>
      </c>
      <c r="B1011" s="632" t="s">
        <v>6794</v>
      </c>
      <c r="C1011" s="623" t="s">
        <v>2929</v>
      </c>
      <c r="D1011" s="633" t="s">
        <v>956</v>
      </c>
      <c r="E1011" s="634">
        <v>111338.29</v>
      </c>
      <c r="F1011" s="633" t="s">
        <v>3315</v>
      </c>
      <c r="G1011" s="633" t="s">
        <v>19</v>
      </c>
      <c r="H1011" s="633" t="s">
        <v>35</v>
      </c>
      <c r="I1011" s="633" t="s">
        <v>250</v>
      </c>
      <c r="J1011" s="635">
        <v>44600</v>
      </c>
      <c r="K1011" s="623" t="s">
        <v>3813</v>
      </c>
      <c r="L1011" s="570"/>
      <c r="M1011" s="570"/>
      <c r="N1011" s="570"/>
      <c r="O1011" s="570"/>
      <c r="P1011" s="570"/>
      <c r="Q1011" s="570"/>
      <c r="R1011" s="570"/>
      <c r="S1011" s="570"/>
      <c r="T1011" s="570"/>
      <c r="U1011" s="570"/>
      <c r="V1011" s="570"/>
      <c r="W1011" s="570"/>
      <c r="X1011" s="570"/>
      <c r="Y1011" s="570"/>
      <c r="Z1011" s="570"/>
      <c r="AA1011" s="570"/>
      <c r="AB1011" s="570"/>
      <c r="AC1011" s="570"/>
      <c r="AD1011" s="570"/>
      <c r="AE1011" s="570"/>
      <c r="AF1011" s="570"/>
      <c r="AG1011" s="570"/>
      <c r="AH1011" s="570"/>
      <c r="AI1011" s="570"/>
      <c r="AJ1011" s="570"/>
      <c r="AK1011" s="570"/>
      <c r="AL1011" s="570"/>
      <c r="AM1011" s="570"/>
      <c r="AN1011" s="570"/>
      <c r="AO1011" s="570"/>
      <c r="AP1011" s="570"/>
      <c r="AQ1011" s="570"/>
      <c r="AR1011" s="570"/>
      <c r="AS1011" s="570"/>
      <c r="AT1011" s="570"/>
      <c r="AU1011" s="570"/>
    </row>
    <row r="1012" spans="1:47" ht="15.75" customHeight="1">
      <c r="A1012" s="595">
        <v>44784</v>
      </c>
      <c r="B1012" s="632" t="s">
        <v>6795</v>
      </c>
      <c r="C1012" s="623" t="s">
        <v>3793</v>
      </c>
      <c r="D1012" s="633" t="s">
        <v>956</v>
      </c>
      <c r="E1012" s="634" t="s">
        <v>6796</v>
      </c>
      <c r="F1012" s="633" t="s">
        <v>4458</v>
      </c>
      <c r="G1012" s="633" t="s">
        <v>46</v>
      </c>
      <c r="H1012" s="633" t="s">
        <v>20</v>
      </c>
      <c r="I1012" s="633" t="s">
        <v>4459</v>
      </c>
      <c r="J1012" s="635">
        <v>44211</v>
      </c>
      <c r="K1012" s="623" t="s">
        <v>3817</v>
      </c>
      <c r="L1012" s="570"/>
      <c r="M1012" s="570"/>
      <c r="N1012" s="570"/>
      <c r="O1012" s="570"/>
      <c r="P1012" s="570"/>
      <c r="Q1012" s="570"/>
      <c r="R1012" s="570"/>
      <c r="S1012" s="570"/>
      <c r="T1012" s="570"/>
      <c r="U1012" s="570"/>
      <c r="V1012" s="570"/>
      <c r="W1012" s="570"/>
      <c r="X1012" s="570"/>
      <c r="Y1012" s="570"/>
      <c r="Z1012" s="570"/>
      <c r="AA1012" s="570"/>
      <c r="AB1012" s="570"/>
      <c r="AC1012" s="570"/>
      <c r="AD1012" s="570"/>
      <c r="AE1012" s="570"/>
      <c r="AF1012" s="570"/>
      <c r="AG1012" s="570"/>
      <c r="AH1012" s="570"/>
      <c r="AI1012" s="570"/>
      <c r="AJ1012" s="570"/>
      <c r="AK1012" s="570"/>
      <c r="AL1012" s="570"/>
      <c r="AM1012" s="570"/>
      <c r="AN1012" s="570"/>
      <c r="AO1012" s="570"/>
      <c r="AP1012" s="570"/>
      <c r="AQ1012" s="570"/>
      <c r="AR1012" s="570"/>
      <c r="AS1012" s="570"/>
      <c r="AT1012" s="570"/>
      <c r="AU1012" s="570"/>
    </row>
    <row r="1013" spans="1:47" ht="15.75" customHeight="1">
      <c r="A1013" s="595">
        <v>44784</v>
      </c>
      <c r="B1013" s="632" t="s">
        <v>6665</v>
      </c>
      <c r="C1013" s="623" t="s">
        <v>3793</v>
      </c>
      <c r="D1013" s="633" t="s">
        <v>6343</v>
      </c>
      <c r="E1013" s="634">
        <v>30000</v>
      </c>
      <c r="F1013" s="633" t="s">
        <v>1741</v>
      </c>
      <c r="G1013" s="633" t="s">
        <v>19</v>
      </c>
      <c r="H1013" s="633" t="s">
        <v>20</v>
      </c>
      <c r="I1013" s="633" t="s">
        <v>5044</v>
      </c>
      <c r="J1013" s="635">
        <v>44594</v>
      </c>
      <c r="K1013" s="623" t="s">
        <v>3810</v>
      </c>
      <c r="L1013" s="570"/>
      <c r="M1013" s="570"/>
      <c r="N1013" s="570"/>
      <c r="O1013" s="570"/>
      <c r="P1013" s="570"/>
      <c r="Q1013" s="570"/>
      <c r="R1013" s="570"/>
      <c r="S1013" s="570"/>
      <c r="T1013" s="570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570"/>
      <c r="AG1013" s="570"/>
      <c r="AH1013" s="570"/>
      <c r="AI1013" s="570"/>
      <c r="AJ1013" s="570"/>
      <c r="AK1013" s="570"/>
      <c r="AL1013" s="570"/>
      <c r="AM1013" s="570"/>
      <c r="AN1013" s="570"/>
      <c r="AO1013" s="570"/>
      <c r="AP1013" s="570"/>
      <c r="AQ1013" s="570"/>
      <c r="AR1013" s="570"/>
      <c r="AS1013" s="570"/>
      <c r="AT1013" s="570"/>
      <c r="AU1013" s="570"/>
    </row>
    <row r="1014" spans="1:47" ht="15.75" customHeight="1">
      <c r="A1014" s="575">
        <v>44784</v>
      </c>
      <c r="B1014" s="603" t="s">
        <v>6720</v>
      </c>
      <c r="C1014" s="405" t="s">
        <v>3793</v>
      </c>
      <c r="D1014" s="561" t="s">
        <v>6343</v>
      </c>
      <c r="E1014" s="584">
        <v>125000</v>
      </c>
      <c r="F1014" s="561" t="s">
        <v>6721</v>
      </c>
      <c r="G1014" s="571" t="s">
        <v>19</v>
      </c>
      <c r="H1014" s="571" t="s">
        <v>66</v>
      </c>
      <c r="I1014" s="571" t="s">
        <v>6328</v>
      </c>
      <c r="J1014" s="571">
        <v>44454</v>
      </c>
      <c r="K1014" s="571" t="s">
        <v>3803</v>
      </c>
      <c r="L1014" s="570"/>
      <c r="M1014" s="570"/>
      <c r="N1014" s="570"/>
      <c r="O1014" s="570"/>
      <c r="P1014" s="570"/>
      <c r="Q1014" s="570"/>
      <c r="R1014" s="570"/>
      <c r="S1014" s="570"/>
      <c r="T1014" s="570"/>
      <c r="U1014" s="570"/>
      <c r="V1014" s="570"/>
      <c r="W1014" s="570"/>
      <c r="X1014" s="570"/>
      <c r="Y1014" s="570"/>
      <c r="Z1014" s="570"/>
      <c r="AA1014" s="570"/>
      <c r="AB1014" s="570"/>
      <c r="AC1014" s="570"/>
      <c r="AD1014" s="570"/>
      <c r="AE1014" s="570"/>
      <c r="AF1014" s="570"/>
      <c r="AG1014" s="570"/>
      <c r="AH1014" s="570"/>
      <c r="AI1014" s="570"/>
      <c r="AJ1014" s="570"/>
      <c r="AK1014" s="570"/>
      <c r="AL1014" s="570"/>
      <c r="AM1014" s="570"/>
      <c r="AN1014" s="570"/>
      <c r="AO1014" s="570"/>
      <c r="AP1014" s="570"/>
      <c r="AQ1014" s="570"/>
      <c r="AR1014" s="570"/>
      <c r="AS1014" s="570"/>
      <c r="AT1014" s="570"/>
      <c r="AU1014" s="570"/>
    </row>
    <row r="1015" spans="1:47" ht="15.75" customHeight="1">
      <c r="A1015" s="575">
        <v>44786</v>
      </c>
      <c r="B1015" s="603" t="s">
        <v>6797</v>
      </c>
      <c r="C1015" s="405" t="s">
        <v>3793</v>
      </c>
      <c r="D1015" s="561" t="s">
        <v>956</v>
      </c>
      <c r="E1015" s="584">
        <v>444418.17</v>
      </c>
      <c r="F1015" s="561" t="s">
        <v>5133</v>
      </c>
      <c r="G1015" s="571" t="s">
        <v>19</v>
      </c>
      <c r="H1015" s="571" t="s">
        <v>66</v>
      </c>
      <c r="I1015" s="571" t="s">
        <v>4142</v>
      </c>
      <c r="J1015" s="571">
        <v>44421</v>
      </c>
      <c r="K1015" s="571" t="s">
        <v>3810</v>
      </c>
      <c r="L1015" s="570"/>
      <c r="M1015" s="570"/>
      <c r="N1015" s="570"/>
      <c r="O1015" s="570"/>
      <c r="P1015" s="570"/>
      <c r="Q1015" s="570"/>
      <c r="R1015" s="570"/>
      <c r="S1015" s="570"/>
      <c r="T1015" s="570"/>
      <c r="U1015" s="570"/>
      <c r="V1015" s="570"/>
      <c r="W1015" s="570"/>
      <c r="X1015" s="570"/>
      <c r="Y1015" s="570"/>
      <c r="Z1015" s="570"/>
      <c r="AA1015" s="570"/>
      <c r="AB1015" s="570"/>
      <c r="AC1015" s="570"/>
      <c r="AD1015" s="570"/>
      <c r="AE1015" s="570"/>
      <c r="AF1015" s="570"/>
      <c r="AG1015" s="570"/>
      <c r="AH1015" s="570"/>
      <c r="AI1015" s="570"/>
      <c r="AJ1015" s="570"/>
      <c r="AK1015" s="570"/>
      <c r="AL1015" s="570"/>
      <c r="AM1015" s="570"/>
      <c r="AN1015" s="570"/>
      <c r="AO1015" s="570"/>
      <c r="AP1015" s="570"/>
      <c r="AQ1015" s="570"/>
      <c r="AR1015" s="570"/>
      <c r="AS1015" s="570"/>
      <c r="AT1015" s="570"/>
      <c r="AU1015" s="570"/>
    </row>
    <row r="1016" spans="1:47" ht="15.75" customHeight="1">
      <c r="A1016" s="595">
        <v>44788</v>
      </c>
      <c r="B1016" s="583" t="s">
        <v>6717</v>
      </c>
      <c r="C1016" s="530" t="s">
        <v>3793</v>
      </c>
      <c r="D1016" s="596" t="s">
        <v>6343</v>
      </c>
      <c r="E1016" s="597">
        <v>10000</v>
      </c>
      <c r="F1016" s="596" t="s">
        <v>6798</v>
      </c>
      <c r="G1016" s="596" t="s">
        <v>19</v>
      </c>
      <c r="H1016" s="596" t="s">
        <v>66</v>
      </c>
      <c r="I1016" s="596" t="s">
        <v>67</v>
      </c>
      <c r="J1016" s="595">
        <v>44645</v>
      </c>
      <c r="K1016" s="530" t="s">
        <v>3810</v>
      </c>
      <c r="L1016" s="570"/>
      <c r="M1016" s="570"/>
      <c r="N1016" s="570"/>
      <c r="O1016" s="570"/>
      <c r="P1016" s="570"/>
      <c r="Q1016" s="570"/>
      <c r="R1016" s="570"/>
      <c r="S1016" s="570"/>
      <c r="T1016" s="570"/>
      <c r="U1016" s="570"/>
      <c r="V1016" s="570"/>
      <c r="W1016" s="570"/>
      <c r="X1016" s="570"/>
      <c r="Y1016" s="570"/>
      <c r="Z1016" s="570"/>
      <c r="AA1016" s="570"/>
      <c r="AB1016" s="570"/>
      <c r="AC1016" s="570"/>
      <c r="AD1016" s="570"/>
      <c r="AE1016" s="570"/>
      <c r="AF1016" s="570"/>
      <c r="AG1016" s="570"/>
      <c r="AH1016" s="570"/>
      <c r="AI1016" s="570"/>
      <c r="AJ1016" s="570"/>
      <c r="AK1016" s="570"/>
      <c r="AL1016" s="570"/>
      <c r="AM1016" s="570"/>
      <c r="AN1016" s="570"/>
      <c r="AO1016" s="570"/>
      <c r="AP1016" s="570"/>
      <c r="AQ1016" s="570"/>
      <c r="AR1016" s="570"/>
      <c r="AS1016" s="570"/>
      <c r="AT1016" s="570"/>
      <c r="AU1016" s="570"/>
    </row>
    <row r="1017" spans="1:47" ht="15.75" customHeight="1">
      <c r="A1017" s="595">
        <v>44788</v>
      </c>
      <c r="B1017" s="583" t="s">
        <v>6799</v>
      </c>
      <c r="C1017" s="530" t="s">
        <v>3793</v>
      </c>
      <c r="D1017" s="596" t="s">
        <v>956</v>
      </c>
      <c r="E1017" s="597">
        <v>608381.09</v>
      </c>
      <c r="F1017" s="596" t="s">
        <v>4832</v>
      </c>
      <c r="G1017" s="596" t="s">
        <v>19</v>
      </c>
      <c r="H1017" s="596" t="s">
        <v>20</v>
      </c>
      <c r="I1017" s="596" t="s">
        <v>3689</v>
      </c>
      <c r="J1017" s="595">
        <v>44341</v>
      </c>
      <c r="K1017" s="530" t="s">
        <v>4833</v>
      </c>
      <c r="L1017" s="570"/>
      <c r="M1017" s="570"/>
      <c r="N1017" s="570"/>
      <c r="O1017" s="570"/>
      <c r="P1017" s="570"/>
      <c r="Q1017" s="570"/>
      <c r="R1017" s="570"/>
      <c r="S1017" s="570"/>
      <c r="T1017" s="570"/>
      <c r="U1017" s="570"/>
      <c r="V1017" s="570"/>
      <c r="W1017" s="570"/>
      <c r="X1017" s="570"/>
      <c r="Y1017" s="570"/>
      <c r="Z1017" s="570"/>
      <c r="AA1017" s="570"/>
      <c r="AB1017" s="570"/>
      <c r="AC1017" s="570"/>
      <c r="AD1017" s="570"/>
      <c r="AE1017" s="570"/>
      <c r="AF1017" s="570"/>
      <c r="AG1017" s="570"/>
      <c r="AH1017" s="570"/>
      <c r="AI1017" s="570"/>
      <c r="AJ1017" s="570"/>
      <c r="AK1017" s="570"/>
      <c r="AL1017" s="570"/>
      <c r="AM1017" s="570"/>
      <c r="AN1017" s="570"/>
      <c r="AO1017" s="570"/>
      <c r="AP1017" s="570"/>
      <c r="AQ1017" s="570"/>
      <c r="AR1017" s="570"/>
      <c r="AS1017" s="570"/>
      <c r="AT1017" s="570"/>
      <c r="AU1017" s="570"/>
    </row>
    <row r="1018" spans="1:47" ht="15.75" customHeight="1">
      <c r="A1018" s="595">
        <v>44789</v>
      </c>
      <c r="B1018" s="583" t="s">
        <v>6755</v>
      </c>
      <c r="C1018" s="530" t="s">
        <v>3793</v>
      </c>
      <c r="D1018" s="596" t="s">
        <v>6343</v>
      </c>
      <c r="E1018" s="597">
        <v>5000</v>
      </c>
      <c r="F1018" s="596" t="s">
        <v>1437</v>
      </c>
      <c r="G1018" s="596" t="s">
        <v>46</v>
      </c>
      <c r="H1018" s="596" t="s">
        <v>20</v>
      </c>
      <c r="I1018" s="596" t="s">
        <v>3640</v>
      </c>
      <c r="J1018" s="595">
        <v>44138</v>
      </c>
      <c r="K1018" s="530" t="s">
        <v>3813</v>
      </c>
      <c r="L1018" s="570"/>
      <c r="M1018" s="570"/>
      <c r="N1018" s="570"/>
      <c r="O1018" s="570"/>
      <c r="P1018" s="570"/>
      <c r="Q1018" s="570"/>
      <c r="R1018" s="570"/>
      <c r="S1018" s="570"/>
      <c r="T1018" s="570"/>
      <c r="U1018" s="570"/>
      <c r="V1018" s="570"/>
      <c r="W1018" s="570"/>
      <c r="X1018" s="570"/>
      <c r="Y1018" s="570"/>
      <c r="Z1018" s="570"/>
      <c r="AA1018" s="570"/>
      <c r="AB1018" s="570"/>
      <c r="AC1018" s="570"/>
      <c r="AD1018" s="570"/>
      <c r="AE1018" s="570"/>
      <c r="AF1018" s="570"/>
      <c r="AG1018" s="570"/>
      <c r="AH1018" s="570"/>
      <c r="AI1018" s="570"/>
      <c r="AJ1018" s="570"/>
      <c r="AK1018" s="570"/>
      <c r="AL1018" s="570"/>
      <c r="AM1018" s="570"/>
      <c r="AN1018" s="570"/>
      <c r="AO1018" s="570"/>
      <c r="AP1018" s="570"/>
      <c r="AQ1018" s="570"/>
      <c r="AR1018" s="570"/>
      <c r="AS1018" s="570"/>
      <c r="AT1018" s="570"/>
      <c r="AU1018" s="570"/>
    </row>
    <row r="1019" spans="1:47" ht="15.75" customHeight="1">
      <c r="A1019" s="595">
        <v>44790</v>
      </c>
      <c r="B1019" s="583" t="s">
        <v>6717</v>
      </c>
      <c r="C1019" s="530" t="s">
        <v>3793</v>
      </c>
      <c r="D1019" s="596" t="s">
        <v>6343</v>
      </c>
      <c r="E1019" s="597">
        <v>5000</v>
      </c>
      <c r="F1019" s="596" t="s">
        <v>6798</v>
      </c>
      <c r="G1019" s="596" t="s">
        <v>19</v>
      </c>
      <c r="H1019" s="596" t="s">
        <v>66</v>
      </c>
      <c r="I1019" s="596" t="s">
        <v>67</v>
      </c>
      <c r="J1019" s="595">
        <v>44645</v>
      </c>
      <c r="K1019" s="530" t="s">
        <v>3810</v>
      </c>
      <c r="L1019" s="570"/>
      <c r="M1019" s="570"/>
      <c r="N1019" s="570"/>
      <c r="O1019" s="570"/>
      <c r="P1019" s="570"/>
      <c r="Q1019" s="570"/>
      <c r="R1019" s="570"/>
      <c r="S1019" s="570"/>
      <c r="T1019" s="570"/>
      <c r="U1019" s="570"/>
      <c r="V1019" s="570"/>
      <c r="W1019" s="570"/>
      <c r="X1019" s="570"/>
      <c r="Y1019" s="570"/>
      <c r="Z1019" s="570"/>
      <c r="AA1019" s="570"/>
      <c r="AB1019" s="570"/>
      <c r="AC1019" s="570"/>
      <c r="AD1019" s="570"/>
      <c r="AE1019" s="570"/>
      <c r="AF1019" s="570"/>
      <c r="AG1019" s="570"/>
      <c r="AH1019" s="570"/>
      <c r="AI1019" s="570"/>
      <c r="AJ1019" s="570"/>
      <c r="AK1019" s="570"/>
      <c r="AL1019" s="570"/>
      <c r="AM1019" s="570"/>
      <c r="AN1019" s="570"/>
      <c r="AO1019" s="570"/>
      <c r="AP1019" s="570"/>
      <c r="AQ1019" s="570"/>
      <c r="AR1019" s="570"/>
      <c r="AS1019" s="570"/>
      <c r="AT1019" s="570"/>
      <c r="AU1019" s="570"/>
    </row>
    <row r="1020" spans="1:47" ht="15.75" customHeight="1">
      <c r="A1020" s="595">
        <v>44791</v>
      </c>
      <c r="B1020" s="583" t="s">
        <v>6654</v>
      </c>
      <c r="C1020" s="530" t="s">
        <v>3793</v>
      </c>
      <c r="D1020" s="596" t="s">
        <v>6343</v>
      </c>
      <c r="E1020" s="597">
        <v>25000</v>
      </c>
      <c r="F1020" s="596" t="s">
        <v>3959</v>
      </c>
      <c r="G1020" s="596" t="s">
        <v>19</v>
      </c>
      <c r="H1020" s="596" t="s">
        <v>20</v>
      </c>
      <c r="I1020" s="596" t="s">
        <v>3960</v>
      </c>
      <c r="J1020" s="595">
        <v>44061</v>
      </c>
      <c r="K1020" s="530" t="s">
        <v>3803</v>
      </c>
      <c r="L1020" s="570"/>
      <c r="M1020" s="570"/>
      <c r="N1020" s="570"/>
      <c r="O1020" s="570"/>
      <c r="P1020" s="570"/>
      <c r="Q1020" s="570"/>
      <c r="R1020" s="570"/>
      <c r="S1020" s="570"/>
      <c r="T1020" s="570"/>
      <c r="U1020" s="570"/>
      <c r="V1020" s="570"/>
      <c r="W1020" s="570"/>
      <c r="X1020" s="570"/>
      <c r="Y1020" s="570"/>
      <c r="Z1020" s="570"/>
      <c r="AA1020" s="570"/>
      <c r="AB1020" s="570"/>
      <c r="AC1020" s="570"/>
      <c r="AD1020" s="570"/>
      <c r="AE1020" s="570"/>
      <c r="AF1020" s="570"/>
      <c r="AG1020" s="570"/>
      <c r="AH1020" s="570"/>
      <c r="AI1020" s="570"/>
      <c r="AJ1020" s="570"/>
      <c r="AK1020" s="570"/>
      <c r="AL1020" s="570"/>
      <c r="AM1020" s="570"/>
      <c r="AN1020" s="570"/>
      <c r="AO1020" s="570"/>
      <c r="AP1020" s="570"/>
      <c r="AQ1020" s="570"/>
      <c r="AR1020" s="570"/>
      <c r="AS1020" s="570"/>
      <c r="AT1020" s="570"/>
      <c r="AU1020" s="570"/>
    </row>
    <row r="1021" spans="1:47" ht="15.75" customHeight="1">
      <c r="A1021" s="575">
        <v>44796</v>
      </c>
      <c r="B1021" s="603" t="s">
        <v>6800</v>
      </c>
      <c r="C1021" s="405" t="s">
        <v>3793</v>
      </c>
      <c r="D1021" s="561" t="s">
        <v>956</v>
      </c>
      <c r="E1021" s="584">
        <v>835364.29</v>
      </c>
      <c r="F1021" s="561" t="s">
        <v>4120</v>
      </c>
      <c r="G1021" s="571" t="s">
        <v>19</v>
      </c>
      <c r="H1021" s="571" t="s">
        <v>66</v>
      </c>
      <c r="I1021" s="571" t="s">
        <v>144</v>
      </c>
      <c r="J1021" s="571">
        <v>44648</v>
      </c>
      <c r="K1021" s="571" t="s">
        <v>3803</v>
      </c>
      <c r="L1021" s="570"/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0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0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  <c r="AQ1021" s="570"/>
      <c r="AR1021" s="570"/>
      <c r="AS1021" s="570"/>
      <c r="AT1021" s="570"/>
      <c r="AU1021" s="570"/>
    </row>
    <row r="1022" spans="1:47" ht="15.75" customHeight="1">
      <c r="A1022" s="575">
        <v>44796</v>
      </c>
      <c r="B1022" s="603" t="s">
        <v>6801</v>
      </c>
      <c r="C1022" s="405" t="s">
        <v>3793</v>
      </c>
      <c r="D1022" s="561" t="s">
        <v>956</v>
      </c>
      <c r="E1022" s="584">
        <v>1652454.72</v>
      </c>
      <c r="F1022" s="561" t="s">
        <v>4120</v>
      </c>
      <c r="G1022" s="571" t="s">
        <v>19</v>
      </c>
      <c r="H1022" s="571" t="s">
        <v>66</v>
      </c>
      <c r="I1022" s="571" t="s">
        <v>144</v>
      </c>
      <c r="J1022" s="571">
        <v>44648</v>
      </c>
      <c r="K1022" s="571" t="s">
        <v>3803</v>
      </c>
      <c r="L1022" s="570"/>
      <c r="M1022" s="570"/>
      <c r="N1022" s="570"/>
      <c r="O1022" s="570"/>
      <c r="P1022" s="570"/>
      <c r="Q1022" s="570"/>
      <c r="R1022" s="570"/>
      <c r="S1022" s="570"/>
      <c r="T1022" s="570"/>
      <c r="U1022" s="570"/>
      <c r="V1022" s="570"/>
      <c r="W1022" s="570"/>
      <c r="X1022" s="570"/>
      <c r="Y1022" s="570"/>
      <c r="Z1022" s="570"/>
      <c r="AA1022" s="570"/>
      <c r="AB1022" s="570"/>
      <c r="AC1022" s="570"/>
      <c r="AD1022" s="570"/>
      <c r="AE1022" s="570"/>
      <c r="AF1022" s="570"/>
      <c r="AG1022" s="570"/>
      <c r="AH1022" s="570"/>
      <c r="AI1022" s="570"/>
      <c r="AJ1022" s="570"/>
      <c r="AK1022" s="570"/>
      <c r="AL1022" s="570"/>
      <c r="AM1022" s="570"/>
      <c r="AN1022" s="570"/>
      <c r="AO1022" s="570"/>
      <c r="AP1022" s="570"/>
      <c r="AQ1022" s="570"/>
      <c r="AR1022" s="570"/>
      <c r="AS1022" s="570"/>
      <c r="AT1022" s="570"/>
      <c r="AU1022" s="570"/>
    </row>
    <row r="1023" spans="1:47" ht="15.75" customHeight="1">
      <c r="A1023" s="575">
        <v>44796</v>
      </c>
      <c r="B1023" s="603" t="s">
        <v>6802</v>
      </c>
      <c r="C1023" s="405" t="s">
        <v>3793</v>
      </c>
      <c r="D1023" s="561" t="s">
        <v>6343</v>
      </c>
      <c r="E1023" s="584">
        <v>10000</v>
      </c>
      <c r="F1023" s="561" t="s">
        <v>4707</v>
      </c>
      <c r="G1023" s="571" t="s">
        <v>19</v>
      </c>
      <c r="H1023" s="571" t="s">
        <v>66</v>
      </c>
      <c r="I1023" s="571" t="s">
        <v>6803</v>
      </c>
      <c r="J1023" s="571"/>
      <c r="K1023" s="571"/>
      <c r="L1023" s="570"/>
      <c r="M1023" s="570"/>
      <c r="N1023" s="570"/>
      <c r="O1023" s="570"/>
      <c r="P1023" s="570"/>
      <c r="Q1023" s="570"/>
      <c r="R1023" s="570"/>
      <c r="S1023" s="570"/>
      <c r="T1023" s="570"/>
      <c r="U1023" s="570"/>
      <c r="V1023" s="570"/>
      <c r="W1023" s="570"/>
      <c r="X1023" s="570"/>
      <c r="Y1023" s="570"/>
      <c r="Z1023" s="570"/>
      <c r="AA1023" s="570"/>
      <c r="AB1023" s="570"/>
      <c r="AC1023" s="570"/>
      <c r="AD1023" s="570"/>
      <c r="AE1023" s="570"/>
      <c r="AF1023" s="570"/>
      <c r="AG1023" s="570"/>
      <c r="AH1023" s="570"/>
      <c r="AI1023" s="570"/>
      <c r="AJ1023" s="570"/>
      <c r="AK1023" s="570"/>
      <c r="AL1023" s="570"/>
      <c r="AM1023" s="570"/>
      <c r="AN1023" s="570"/>
      <c r="AO1023" s="570"/>
      <c r="AP1023" s="570"/>
      <c r="AQ1023" s="570"/>
      <c r="AR1023" s="570"/>
      <c r="AS1023" s="570"/>
      <c r="AT1023" s="570"/>
      <c r="AU1023" s="570"/>
    </row>
    <row r="1024" spans="1:47" ht="15.75" customHeight="1">
      <c r="A1024" s="575">
        <v>44803</v>
      </c>
      <c r="B1024" s="603" t="s">
        <v>6804</v>
      </c>
      <c r="C1024" s="405" t="s">
        <v>3793</v>
      </c>
      <c r="D1024" s="561" t="s">
        <v>956</v>
      </c>
      <c r="E1024" s="584">
        <v>352012.79</v>
      </c>
      <c r="F1024" s="561" t="s">
        <v>4124</v>
      </c>
      <c r="G1024" s="571" t="s">
        <v>46</v>
      </c>
      <c r="H1024" s="571" t="s">
        <v>20</v>
      </c>
      <c r="I1024" s="571" t="s">
        <v>4075</v>
      </c>
      <c r="J1024" s="571">
        <v>44186</v>
      </c>
      <c r="K1024" s="571" t="s">
        <v>3813</v>
      </c>
      <c r="L1024" s="570"/>
      <c r="M1024" s="570"/>
      <c r="N1024" s="570"/>
      <c r="O1024" s="570"/>
      <c r="P1024" s="570"/>
      <c r="Q1024" s="570"/>
      <c r="R1024" s="570"/>
      <c r="S1024" s="570"/>
      <c r="T1024" s="570"/>
      <c r="U1024" s="570"/>
      <c r="V1024" s="570"/>
      <c r="W1024" s="570"/>
      <c r="X1024" s="570"/>
      <c r="Y1024" s="570"/>
      <c r="Z1024" s="570"/>
      <c r="AA1024" s="570"/>
      <c r="AB1024" s="570"/>
      <c r="AC1024" s="570"/>
      <c r="AD1024" s="570"/>
      <c r="AE1024" s="570"/>
      <c r="AF1024" s="570"/>
      <c r="AG1024" s="570"/>
      <c r="AH1024" s="570"/>
      <c r="AI1024" s="570"/>
      <c r="AJ1024" s="570"/>
      <c r="AK1024" s="570"/>
      <c r="AL1024" s="570"/>
      <c r="AM1024" s="570"/>
      <c r="AN1024" s="570"/>
      <c r="AO1024" s="570"/>
      <c r="AP1024" s="570"/>
      <c r="AQ1024" s="570"/>
      <c r="AR1024" s="570"/>
      <c r="AS1024" s="570"/>
      <c r="AT1024" s="570"/>
      <c r="AU1024" s="570"/>
    </row>
    <row r="1025" spans="1:47" ht="15.75" customHeight="1">
      <c r="A1025" s="575">
        <v>44803</v>
      </c>
      <c r="B1025" s="603" t="s">
        <v>6805</v>
      </c>
      <c r="C1025" s="405" t="s">
        <v>3793</v>
      </c>
      <c r="D1025" s="561" t="s">
        <v>956</v>
      </c>
      <c r="E1025" s="584">
        <v>130273.59</v>
      </c>
      <c r="F1025" s="561" t="s">
        <v>4297</v>
      </c>
      <c r="G1025" s="571" t="s">
        <v>46</v>
      </c>
      <c r="H1025" s="571" t="s">
        <v>20</v>
      </c>
      <c r="I1025" s="571" t="s">
        <v>3640</v>
      </c>
      <c r="J1025" s="571">
        <v>44211</v>
      </c>
      <c r="K1025" s="571" t="s">
        <v>3803</v>
      </c>
      <c r="L1025" s="570"/>
      <c r="M1025" s="570"/>
      <c r="N1025" s="570"/>
      <c r="O1025" s="570"/>
      <c r="P1025" s="570"/>
      <c r="Q1025" s="570"/>
      <c r="R1025" s="570"/>
      <c r="S1025" s="570"/>
      <c r="T1025" s="570"/>
      <c r="U1025" s="570"/>
      <c r="V1025" s="570"/>
      <c r="W1025" s="570"/>
      <c r="X1025" s="570"/>
      <c r="Y1025" s="570"/>
      <c r="Z1025" s="570"/>
      <c r="AA1025" s="570"/>
      <c r="AB1025" s="570"/>
      <c r="AC1025" s="570"/>
      <c r="AD1025" s="570"/>
      <c r="AE1025" s="570"/>
      <c r="AF1025" s="570"/>
      <c r="AG1025" s="570"/>
      <c r="AH1025" s="570"/>
      <c r="AI1025" s="570"/>
      <c r="AJ1025" s="570"/>
      <c r="AK1025" s="570"/>
      <c r="AL1025" s="570"/>
      <c r="AM1025" s="570"/>
      <c r="AN1025" s="570"/>
      <c r="AO1025" s="570"/>
      <c r="AP1025" s="570"/>
      <c r="AQ1025" s="570"/>
      <c r="AR1025" s="570"/>
      <c r="AS1025" s="570"/>
      <c r="AT1025" s="570"/>
      <c r="AU1025" s="570"/>
    </row>
    <row r="1026" spans="1:47" ht="15.75" customHeight="1">
      <c r="A1026" s="575">
        <v>44803</v>
      </c>
      <c r="B1026" s="603" t="s">
        <v>6806</v>
      </c>
      <c r="C1026" s="405" t="s">
        <v>3793</v>
      </c>
      <c r="D1026" s="561" t="s">
        <v>6343</v>
      </c>
      <c r="E1026" s="584">
        <v>10000</v>
      </c>
      <c r="F1026" s="561" t="s">
        <v>4091</v>
      </c>
      <c r="G1026" s="571" t="s">
        <v>19</v>
      </c>
      <c r="H1026" s="571" t="s">
        <v>66</v>
      </c>
      <c r="I1026" s="571" t="s">
        <v>144</v>
      </c>
      <c r="J1026" s="571">
        <v>44762</v>
      </c>
      <c r="K1026" s="571" t="s">
        <v>3813</v>
      </c>
      <c r="L1026" s="570"/>
      <c r="M1026" s="570"/>
      <c r="N1026" s="570"/>
      <c r="O1026" s="570"/>
      <c r="P1026" s="570"/>
      <c r="Q1026" s="570"/>
      <c r="R1026" s="570"/>
      <c r="S1026" s="570"/>
      <c r="T1026" s="570"/>
      <c r="U1026" s="570"/>
      <c r="V1026" s="570"/>
      <c r="W1026" s="570"/>
      <c r="X1026" s="570"/>
      <c r="Y1026" s="570"/>
      <c r="Z1026" s="570"/>
      <c r="AA1026" s="570"/>
      <c r="AB1026" s="570"/>
      <c r="AC1026" s="570"/>
      <c r="AD1026" s="570"/>
      <c r="AE1026" s="570"/>
      <c r="AF1026" s="570"/>
      <c r="AG1026" s="570"/>
      <c r="AH1026" s="570"/>
      <c r="AI1026" s="570"/>
      <c r="AJ1026" s="570"/>
      <c r="AK1026" s="570"/>
      <c r="AL1026" s="570"/>
      <c r="AM1026" s="570"/>
      <c r="AN1026" s="570"/>
      <c r="AO1026" s="570"/>
      <c r="AP1026" s="570"/>
      <c r="AQ1026" s="570"/>
      <c r="AR1026" s="570"/>
      <c r="AS1026" s="570"/>
      <c r="AT1026" s="570"/>
      <c r="AU1026" s="570"/>
    </row>
    <row r="1027" spans="1:47" ht="15.75" customHeight="1">
      <c r="A1027" s="575">
        <v>44806</v>
      </c>
      <c r="B1027" s="603" t="s">
        <v>6468</v>
      </c>
      <c r="C1027" s="405" t="s">
        <v>3793</v>
      </c>
      <c r="D1027" s="561" t="s">
        <v>956</v>
      </c>
      <c r="E1027" s="584">
        <v>41167.949999999997</v>
      </c>
      <c r="F1027" s="561" t="s">
        <v>4038</v>
      </c>
      <c r="G1027" s="571" t="s">
        <v>46</v>
      </c>
      <c r="H1027" s="571" t="s">
        <v>20</v>
      </c>
      <c r="I1027" s="571" t="s">
        <v>3640</v>
      </c>
      <c r="J1027" s="571">
        <v>44160</v>
      </c>
      <c r="K1027" s="571"/>
      <c r="L1027" s="570"/>
      <c r="M1027" s="570"/>
      <c r="N1027" s="570"/>
      <c r="O1027" s="570"/>
      <c r="P1027" s="570"/>
      <c r="Q1027" s="570"/>
      <c r="R1027" s="570"/>
      <c r="S1027" s="570"/>
      <c r="T1027" s="570"/>
      <c r="U1027" s="570"/>
      <c r="V1027" s="570"/>
      <c r="W1027" s="570"/>
      <c r="X1027" s="570"/>
      <c r="Y1027" s="570"/>
      <c r="Z1027" s="570"/>
      <c r="AA1027" s="570"/>
      <c r="AB1027" s="570"/>
      <c r="AC1027" s="570"/>
      <c r="AD1027" s="570"/>
      <c r="AE1027" s="570"/>
      <c r="AF1027" s="570"/>
      <c r="AG1027" s="570"/>
      <c r="AH1027" s="570"/>
      <c r="AI1027" s="570"/>
      <c r="AJ1027" s="570"/>
      <c r="AK1027" s="570"/>
      <c r="AL1027" s="570"/>
      <c r="AM1027" s="570"/>
      <c r="AN1027" s="570"/>
      <c r="AO1027" s="570"/>
      <c r="AP1027" s="570"/>
      <c r="AQ1027" s="570"/>
      <c r="AR1027" s="570"/>
      <c r="AS1027" s="570"/>
      <c r="AT1027" s="570"/>
      <c r="AU1027" s="570"/>
    </row>
    <row r="1028" spans="1:47" ht="15.75" customHeight="1">
      <c r="A1028" s="575">
        <v>44810</v>
      </c>
      <c r="B1028" s="603" t="s">
        <v>6806</v>
      </c>
      <c r="C1028" s="405" t="s">
        <v>3793</v>
      </c>
      <c r="D1028" s="561" t="s">
        <v>6343</v>
      </c>
      <c r="E1028" s="584">
        <v>10000</v>
      </c>
      <c r="F1028" s="561" t="s">
        <v>4091</v>
      </c>
      <c r="G1028" s="571" t="s">
        <v>19</v>
      </c>
      <c r="H1028" s="571" t="s">
        <v>66</v>
      </c>
      <c r="I1028" s="571" t="s">
        <v>144</v>
      </c>
      <c r="J1028" s="571">
        <v>44762</v>
      </c>
      <c r="K1028" s="571" t="s">
        <v>3813</v>
      </c>
      <c r="L1028" s="570"/>
      <c r="M1028" s="570"/>
      <c r="N1028" s="570"/>
      <c r="O1028" s="570"/>
      <c r="P1028" s="570"/>
      <c r="Q1028" s="570"/>
      <c r="R1028" s="570"/>
      <c r="S1028" s="570"/>
      <c r="T1028" s="570"/>
      <c r="U1028" s="570"/>
      <c r="V1028" s="570"/>
      <c r="W1028" s="570"/>
      <c r="X1028" s="570"/>
      <c r="Y1028" s="570"/>
      <c r="Z1028" s="570"/>
      <c r="AA1028" s="570"/>
      <c r="AB1028" s="570"/>
      <c r="AC1028" s="570"/>
      <c r="AD1028" s="570"/>
      <c r="AE1028" s="570"/>
      <c r="AF1028" s="570"/>
      <c r="AG1028" s="570"/>
      <c r="AH1028" s="570"/>
      <c r="AI1028" s="570"/>
      <c r="AJ1028" s="570"/>
      <c r="AK1028" s="570"/>
      <c r="AL1028" s="570"/>
      <c r="AM1028" s="570"/>
      <c r="AN1028" s="570"/>
      <c r="AO1028" s="570"/>
      <c r="AP1028" s="570"/>
      <c r="AQ1028" s="570"/>
      <c r="AR1028" s="570"/>
      <c r="AS1028" s="570"/>
      <c r="AT1028" s="570"/>
      <c r="AU1028" s="570"/>
    </row>
    <row r="1029" spans="1:47" ht="15.75" customHeight="1">
      <c r="A1029" s="575">
        <v>44810</v>
      </c>
      <c r="B1029" s="603" t="s">
        <v>6807</v>
      </c>
      <c r="C1029" s="405" t="s">
        <v>3793</v>
      </c>
      <c r="D1029" s="561" t="s">
        <v>6343</v>
      </c>
      <c r="E1029" s="584">
        <v>4000</v>
      </c>
      <c r="F1029" s="561" t="s">
        <v>4058</v>
      </c>
      <c r="G1029" s="571" t="s">
        <v>19</v>
      </c>
      <c r="H1029" s="571" t="s">
        <v>66</v>
      </c>
      <c r="I1029" s="571" t="s">
        <v>316</v>
      </c>
      <c r="J1029" s="571">
        <v>44497</v>
      </c>
      <c r="K1029" s="571" t="s">
        <v>3813</v>
      </c>
      <c r="L1029" s="570"/>
      <c r="M1029" s="570"/>
      <c r="N1029" s="570"/>
      <c r="O1029" s="570"/>
      <c r="P1029" s="570"/>
      <c r="Q1029" s="570"/>
      <c r="R1029" s="570"/>
      <c r="S1029" s="570"/>
      <c r="T1029" s="570"/>
      <c r="U1029" s="570"/>
      <c r="V1029" s="570"/>
      <c r="W1029" s="570"/>
      <c r="X1029" s="570"/>
      <c r="Y1029" s="570"/>
      <c r="Z1029" s="570"/>
      <c r="AA1029" s="570"/>
      <c r="AB1029" s="570"/>
      <c r="AC1029" s="570"/>
      <c r="AD1029" s="570"/>
      <c r="AE1029" s="570"/>
      <c r="AF1029" s="570"/>
      <c r="AG1029" s="570"/>
      <c r="AH1029" s="570"/>
      <c r="AI1029" s="570"/>
      <c r="AJ1029" s="570"/>
      <c r="AK1029" s="570"/>
      <c r="AL1029" s="570"/>
      <c r="AM1029" s="570"/>
      <c r="AN1029" s="570"/>
      <c r="AO1029" s="570"/>
      <c r="AP1029" s="570"/>
      <c r="AQ1029" s="570"/>
      <c r="AR1029" s="570"/>
      <c r="AS1029" s="570"/>
      <c r="AT1029" s="570"/>
      <c r="AU1029" s="570"/>
    </row>
    <row r="1030" spans="1:47" ht="15.75" customHeight="1">
      <c r="A1030" s="575">
        <v>44810</v>
      </c>
      <c r="B1030" s="603" t="s">
        <v>6808</v>
      </c>
      <c r="C1030" s="405" t="s">
        <v>3793</v>
      </c>
      <c r="D1030" s="561" t="s">
        <v>956</v>
      </c>
      <c r="E1030" s="584">
        <v>160322.21</v>
      </c>
      <c r="F1030" s="561" t="s">
        <v>4785</v>
      </c>
      <c r="G1030" s="571" t="s">
        <v>19</v>
      </c>
      <c r="H1030" s="571" t="s">
        <v>66</v>
      </c>
      <c r="I1030" s="571" t="s">
        <v>4142</v>
      </c>
      <c r="J1030" s="571">
        <v>44487</v>
      </c>
      <c r="K1030" s="571" t="s">
        <v>3803</v>
      </c>
      <c r="L1030" s="570"/>
      <c r="M1030" s="570"/>
      <c r="N1030" s="570"/>
      <c r="O1030" s="570"/>
      <c r="P1030" s="570"/>
      <c r="Q1030" s="570"/>
      <c r="R1030" s="570"/>
      <c r="S1030" s="570"/>
      <c r="T1030" s="570"/>
      <c r="U1030" s="570"/>
      <c r="V1030" s="570"/>
      <c r="W1030" s="570"/>
      <c r="X1030" s="570"/>
      <c r="Y1030" s="570"/>
      <c r="Z1030" s="570"/>
      <c r="AA1030" s="570"/>
      <c r="AB1030" s="570"/>
      <c r="AC1030" s="570"/>
      <c r="AD1030" s="570"/>
      <c r="AE1030" s="570"/>
      <c r="AF1030" s="570"/>
      <c r="AG1030" s="570"/>
      <c r="AH1030" s="570"/>
      <c r="AI1030" s="570"/>
      <c r="AJ1030" s="570"/>
      <c r="AK1030" s="570"/>
      <c r="AL1030" s="570"/>
      <c r="AM1030" s="570"/>
      <c r="AN1030" s="570"/>
      <c r="AO1030" s="570"/>
      <c r="AP1030" s="570"/>
      <c r="AQ1030" s="570"/>
      <c r="AR1030" s="570"/>
      <c r="AS1030" s="570"/>
      <c r="AT1030" s="570"/>
      <c r="AU1030" s="570"/>
    </row>
    <row r="1031" spans="1:47" ht="15.75" customHeight="1">
      <c r="A1031" s="575">
        <v>44812</v>
      </c>
      <c r="B1031" s="603" t="s">
        <v>6809</v>
      </c>
      <c r="C1031" s="405" t="s">
        <v>3793</v>
      </c>
      <c r="D1031" s="561" t="s">
        <v>6343</v>
      </c>
      <c r="E1031" s="584">
        <v>96000</v>
      </c>
      <c r="F1031" s="561" t="s">
        <v>4864</v>
      </c>
      <c r="G1031" s="571" t="s">
        <v>19</v>
      </c>
      <c r="H1031" s="571" t="s">
        <v>66</v>
      </c>
      <c r="I1031" s="571" t="s">
        <v>265</v>
      </c>
      <c r="J1031" s="571">
        <v>44698</v>
      </c>
      <c r="K1031" s="571" t="s">
        <v>3817</v>
      </c>
      <c r="L1031" s="570"/>
      <c r="M1031" s="570"/>
      <c r="N1031" s="570"/>
      <c r="O1031" s="570"/>
      <c r="P1031" s="570"/>
      <c r="Q1031" s="570"/>
      <c r="R1031" s="570"/>
      <c r="S1031" s="570"/>
      <c r="T1031" s="570"/>
      <c r="U1031" s="570"/>
      <c r="V1031" s="570"/>
      <c r="W1031" s="570"/>
      <c r="X1031" s="570"/>
      <c r="Y1031" s="570"/>
      <c r="Z1031" s="570"/>
      <c r="AA1031" s="570"/>
      <c r="AB1031" s="570"/>
      <c r="AC1031" s="570"/>
      <c r="AD1031" s="570"/>
      <c r="AE1031" s="570"/>
      <c r="AF1031" s="570"/>
      <c r="AG1031" s="570"/>
      <c r="AH1031" s="570"/>
      <c r="AI1031" s="570"/>
      <c r="AJ1031" s="570"/>
      <c r="AK1031" s="570"/>
      <c r="AL1031" s="570"/>
      <c r="AM1031" s="570"/>
      <c r="AN1031" s="570"/>
      <c r="AO1031" s="570"/>
      <c r="AP1031" s="570"/>
      <c r="AQ1031" s="570"/>
      <c r="AR1031" s="570"/>
      <c r="AS1031" s="570"/>
      <c r="AT1031" s="570"/>
      <c r="AU1031" s="570"/>
    </row>
    <row r="1032" spans="1:47" ht="15.75" customHeight="1">
      <c r="A1032" s="575">
        <v>44812</v>
      </c>
      <c r="B1032" s="603" t="s">
        <v>6810</v>
      </c>
      <c r="C1032" s="405" t="s">
        <v>3793</v>
      </c>
      <c r="D1032" s="561" t="s">
        <v>956</v>
      </c>
      <c r="E1032" s="584">
        <v>217697.33</v>
      </c>
      <c r="F1032" s="561" t="s">
        <v>5344</v>
      </c>
      <c r="G1032" s="571" t="s">
        <v>19</v>
      </c>
      <c r="H1032" s="571" t="s">
        <v>66</v>
      </c>
      <c r="I1032" s="571" t="s">
        <v>4142</v>
      </c>
      <c r="J1032" s="571">
        <v>44426</v>
      </c>
      <c r="K1032" s="571" t="s">
        <v>3813</v>
      </c>
      <c r="L1032" s="570"/>
      <c r="M1032" s="570"/>
      <c r="N1032" s="570"/>
      <c r="O1032" s="570"/>
      <c r="P1032" s="570"/>
      <c r="Q1032" s="570"/>
      <c r="R1032" s="570"/>
      <c r="S1032" s="570"/>
      <c r="T1032" s="570"/>
      <c r="U1032" s="570"/>
      <c r="V1032" s="570"/>
      <c r="W1032" s="570"/>
      <c r="X1032" s="570"/>
      <c r="Y1032" s="570"/>
      <c r="Z1032" s="570"/>
      <c r="AA1032" s="570"/>
      <c r="AB1032" s="570"/>
      <c r="AC1032" s="570"/>
      <c r="AD1032" s="570"/>
      <c r="AE1032" s="570"/>
      <c r="AF1032" s="570"/>
      <c r="AG1032" s="570"/>
      <c r="AH1032" s="570"/>
      <c r="AI1032" s="570"/>
      <c r="AJ1032" s="570"/>
      <c r="AK1032" s="570"/>
      <c r="AL1032" s="570"/>
      <c r="AM1032" s="570"/>
      <c r="AN1032" s="570"/>
      <c r="AO1032" s="570"/>
      <c r="AP1032" s="570"/>
      <c r="AQ1032" s="570"/>
      <c r="AR1032" s="570"/>
      <c r="AS1032" s="570"/>
      <c r="AT1032" s="570"/>
      <c r="AU1032" s="570"/>
    </row>
    <row r="1033" spans="1:47" ht="15.75" customHeight="1">
      <c r="A1033" s="575">
        <v>44812</v>
      </c>
      <c r="B1033" s="603" t="s">
        <v>6811</v>
      </c>
      <c r="C1033" s="405" t="s">
        <v>2929</v>
      </c>
      <c r="D1033" s="561" t="s">
        <v>956</v>
      </c>
      <c r="E1033" s="584">
        <v>865757.17</v>
      </c>
      <c r="F1033" s="561" t="s">
        <v>3009</v>
      </c>
      <c r="G1033" s="571" t="s">
        <v>19</v>
      </c>
      <c r="H1033" s="571" t="s">
        <v>35</v>
      </c>
      <c r="I1033" s="571" t="s">
        <v>2979</v>
      </c>
      <c r="J1033" s="571">
        <v>44263</v>
      </c>
      <c r="K1033" s="571" t="s">
        <v>3810</v>
      </c>
      <c r="L1033" s="570"/>
      <c r="M1033" s="570"/>
      <c r="N1033" s="570"/>
      <c r="O1033" s="570"/>
      <c r="P1033" s="570"/>
      <c r="Q1033" s="570"/>
      <c r="R1033" s="570"/>
      <c r="S1033" s="570"/>
      <c r="T1033" s="570"/>
      <c r="U1033" s="570"/>
      <c r="V1033" s="570"/>
      <c r="W1033" s="570"/>
      <c r="X1033" s="570"/>
      <c r="Y1033" s="570"/>
      <c r="Z1033" s="570"/>
      <c r="AA1033" s="570"/>
      <c r="AB1033" s="570"/>
      <c r="AC1033" s="570"/>
      <c r="AD1033" s="570"/>
      <c r="AE1033" s="570"/>
      <c r="AF1033" s="570"/>
      <c r="AG1033" s="570"/>
      <c r="AH1033" s="570"/>
      <c r="AI1033" s="570"/>
      <c r="AJ1033" s="570"/>
      <c r="AK1033" s="570"/>
      <c r="AL1033" s="570"/>
      <c r="AM1033" s="570"/>
      <c r="AN1033" s="570"/>
      <c r="AO1033" s="570"/>
      <c r="AP1033" s="570"/>
      <c r="AQ1033" s="570"/>
      <c r="AR1033" s="570"/>
      <c r="AS1033" s="570"/>
      <c r="AT1033" s="570"/>
      <c r="AU1033" s="570"/>
    </row>
    <row r="1034" spans="1:47" ht="15.75" customHeight="1">
      <c r="A1034" s="575">
        <v>44816</v>
      </c>
      <c r="B1034" s="603" t="s">
        <v>6812</v>
      </c>
      <c r="C1034" s="405" t="s">
        <v>3793</v>
      </c>
      <c r="D1034" s="561" t="s">
        <v>956</v>
      </c>
      <c r="E1034" s="584">
        <v>662610.46</v>
      </c>
      <c r="F1034" s="561" t="s">
        <v>4885</v>
      </c>
      <c r="G1034" s="571" t="s">
        <v>19</v>
      </c>
      <c r="H1034" s="571" t="s">
        <v>66</v>
      </c>
      <c r="I1034" s="571" t="s">
        <v>4142</v>
      </c>
      <c r="J1034" s="571">
        <v>44517</v>
      </c>
      <c r="K1034" s="561" t="s">
        <v>3850</v>
      </c>
      <c r="L1034" s="570"/>
      <c r="M1034" s="570"/>
      <c r="N1034" s="570"/>
      <c r="O1034" s="570"/>
      <c r="P1034" s="570"/>
      <c r="Q1034" s="570"/>
      <c r="R1034" s="570"/>
      <c r="S1034" s="570"/>
      <c r="T1034" s="570"/>
      <c r="U1034" s="570"/>
      <c r="V1034" s="570"/>
      <c r="W1034" s="570"/>
      <c r="X1034" s="570"/>
      <c r="Y1034" s="570"/>
      <c r="Z1034" s="570"/>
      <c r="AA1034" s="570"/>
      <c r="AB1034" s="570"/>
      <c r="AC1034" s="570"/>
      <c r="AD1034" s="570"/>
      <c r="AE1034" s="570"/>
      <c r="AF1034" s="570"/>
      <c r="AG1034" s="570"/>
      <c r="AH1034" s="570"/>
      <c r="AI1034" s="570"/>
      <c r="AJ1034" s="570"/>
      <c r="AK1034" s="570"/>
      <c r="AL1034" s="570"/>
      <c r="AM1034" s="570"/>
      <c r="AN1034" s="570"/>
      <c r="AO1034" s="570"/>
      <c r="AP1034" s="570"/>
      <c r="AQ1034" s="570"/>
      <c r="AR1034" s="570"/>
      <c r="AS1034" s="570"/>
      <c r="AT1034" s="570"/>
      <c r="AU1034" s="570"/>
    </row>
    <row r="1035" spans="1:47" ht="15.75" customHeight="1">
      <c r="A1035" s="575">
        <v>44816</v>
      </c>
      <c r="B1035" s="603" t="s">
        <v>6813</v>
      </c>
      <c r="C1035" s="405" t="s">
        <v>3793</v>
      </c>
      <c r="D1035" s="561" t="s">
        <v>6343</v>
      </c>
      <c r="E1035" s="584">
        <v>17000</v>
      </c>
      <c r="F1035" s="561" t="s">
        <v>5306</v>
      </c>
      <c r="G1035" s="571" t="s">
        <v>46</v>
      </c>
      <c r="H1035" s="571" t="s">
        <v>20</v>
      </c>
      <c r="I1035" s="571" t="s">
        <v>56</v>
      </c>
      <c r="J1035" s="571">
        <v>44147</v>
      </c>
      <c r="K1035" s="571" t="s">
        <v>3817</v>
      </c>
      <c r="L1035" s="570"/>
      <c r="M1035" s="570"/>
      <c r="N1035" s="570"/>
      <c r="O1035" s="570"/>
      <c r="P1035" s="570"/>
      <c r="Q1035" s="570"/>
      <c r="R1035" s="570"/>
      <c r="S1035" s="570"/>
      <c r="T1035" s="570"/>
      <c r="U1035" s="570"/>
      <c r="V1035" s="570"/>
      <c r="W1035" s="570"/>
      <c r="X1035" s="570"/>
      <c r="Y1035" s="570"/>
      <c r="Z1035" s="570"/>
      <c r="AA1035" s="570"/>
      <c r="AB1035" s="570"/>
      <c r="AC1035" s="570"/>
      <c r="AD1035" s="570"/>
      <c r="AE1035" s="570"/>
      <c r="AF1035" s="570"/>
      <c r="AG1035" s="570"/>
      <c r="AH1035" s="570"/>
      <c r="AI1035" s="570"/>
      <c r="AJ1035" s="570"/>
      <c r="AK1035" s="570"/>
      <c r="AL1035" s="570"/>
      <c r="AM1035" s="570"/>
      <c r="AN1035" s="570"/>
      <c r="AO1035" s="570"/>
      <c r="AP1035" s="570"/>
      <c r="AQ1035" s="570"/>
      <c r="AR1035" s="570"/>
      <c r="AS1035" s="570"/>
      <c r="AT1035" s="570"/>
      <c r="AU1035" s="570"/>
    </row>
    <row r="1036" spans="1:47" ht="15.75" customHeight="1">
      <c r="A1036" s="575">
        <v>44817</v>
      </c>
      <c r="B1036" s="603" t="s">
        <v>6755</v>
      </c>
      <c r="C1036" s="405" t="s">
        <v>3793</v>
      </c>
      <c r="D1036" s="561" t="s">
        <v>6343</v>
      </c>
      <c r="E1036" s="584">
        <v>20000</v>
      </c>
      <c r="F1036" s="561" t="s">
        <v>1437</v>
      </c>
      <c r="G1036" s="571" t="s">
        <v>46</v>
      </c>
      <c r="H1036" s="571" t="s">
        <v>20</v>
      </c>
      <c r="I1036" s="571" t="s">
        <v>3640</v>
      </c>
      <c r="J1036" s="571">
        <v>44138</v>
      </c>
      <c r="K1036" s="571" t="s">
        <v>3813</v>
      </c>
      <c r="L1036" s="570"/>
      <c r="M1036" s="570"/>
      <c r="N1036" s="570"/>
      <c r="O1036" s="570"/>
      <c r="P1036" s="570"/>
      <c r="Q1036" s="570"/>
      <c r="R1036" s="570"/>
      <c r="S1036" s="570"/>
      <c r="T1036" s="570"/>
      <c r="U1036" s="570"/>
      <c r="V1036" s="570"/>
      <c r="W1036" s="570"/>
      <c r="X1036" s="570"/>
      <c r="Y1036" s="570"/>
      <c r="Z1036" s="570"/>
      <c r="AA1036" s="570"/>
      <c r="AB1036" s="570"/>
      <c r="AC1036" s="570"/>
      <c r="AD1036" s="570"/>
      <c r="AE1036" s="570"/>
      <c r="AF1036" s="570"/>
      <c r="AG1036" s="570"/>
      <c r="AH1036" s="570"/>
      <c r="AI1036" s="570"/>
      <c r="AJ1036" s="570"/>
      <c r="AK1036" s="570"/>
      <c r="AL1036" s="570"/>
      <c r="AM1036" s="570"/>
      <c r="AN1036" s="570"/>
      <c r="AO1036" s="570"/>
      <c r="AP1036" s="570"/>
      <c r="AQ1036" s="570"/>
      <c r="AR1036" s="570"/>
      <c r="AS1036" s="570"/>
      <c r="AT1036" s="570"/>
      <c r="AU1036" s="570"/>
    </row>
    <row r="1037" spans="1:47" ht="15.75" customHeight="1">
      <c r="A1037" s="575">
        <v>44817</v>
      </c>
      <c r="B1037" s="603" t="s">
        <v>6654</v>
      </c>
      <c r="C1037" s="405" t="s">
        <v>3793</v>
      </c>
      <c r="D1037" s="561" t="s">
        <v>6343</v>
      </c>
      <c r="E1037" s="584">
        <v>25000</v>
      </c>
      <c r="F1037" s="561" t="s">
        <v>3959</v>
      </c>
      <c r="G1037" s="571" t="s">
        <v>19</v>
      </c>
      <c r="H1037" s="571" t="s">
        <v>20</v>
      </c>
      <c r="I1037" s="571" t="s">
        <v>3960</v>
      </c>
      <c r="J1037" s="571">
        <v>44061</v>
      </c>
      <c r="K1037" s="571" t="s">
        <v>3803</v>
      </c>
      <c r="L1037" s="570"/>
      <c r="M1037" s="570"/>
      <c r="N1037" s="570"/>
      <c r="O1037" s="570"/>
      <c r="P1037" s="570"/>
      <c r="Q1037" s="570"/>
      <c r="R1037" s="570"/>
      <c r="S1037" s="570"/>
      <c r="T1037" s="570"/>
      <c r="U1037" s="570"/>
      <c r="V1037" s="570"/>
      <c r="W1037" s="570"/>
      <c r="X1037" s="570"/>
      <c r="Y1037" s="570"/>
      <c r="Z1037" s="570"/>
      <c r="AA1037" s="570"/>
      <c r="AB1037" s="570"/>
      <c r="AC1037" s="570"/>
      <c r="AD1037" s="570"/>
      <c r="AE1037" s="570"/>
      <c r="AF1037" s="570"/>
      <c r="AG1037" s="570"/>
      <c r="AH1037" s="570"/>
      <c r="AI1037" s="570"/>
      <c r="AJ1037" s="570"/>
      <c r="AK1037" s="570"/>
      <c r="AL1037" s="570"/>
      <c r="AM1037" s="570"/>
      <c r="AN1037" s="570"/>
      <c r="AO1037" s="570"/>
      <c r="AP1037" s="570"/>
      <c r="AQ1037" s="570"/>
      <c r="AR1037" s="570"/>
      <c r="AS1037" s="570"/>
      <c r="AT1037" s="570"/>
      <c r="AU1037" s="570"/>
    </row>
    <row r="1038" spans="1:47" ht="15.75" customHeight="1">
      <c r="A1038" s="575">
        <v>44818</v>
      </c>
      <c r="B1038" s="603" t="s">
        <v>6814</v>
      </c>
      <c r="C1038" s="405" t="s">
        <v>3793</v>
      </c>
      <c r="D1038" s="561" t="s">
        <v>956</v>
      </c>
      <c r="E1038" s="584">
        <v>384533.87</v>
      </c>
      <c r="F1038" s="561" t="s">
        <v>5288</v>
      </c>
      <c r="G1038" s="571" t="s">
        <v>19</v>
      </c>
      <c r="H1038" s="571" t="s">
        <v>66</v>
      </c>
      <c r="I1038" s="571" t="s">
        <v>4142</v>
      </c>
      <c r="J1038" s="571">
        <v>44421</v>
      </c>
      <c r="K1038" s="571" t="s">
        <v>3813</v>
      </c>
      <c r="L1038" s="570"/>
      <c r="M1038" s="570"/>
      <c r="N1038" s="570"/>
      <c r="O1038" s="570"/>
      <c r="P1038" s="570"/>
      <c r="Q1038" s="570"/>
      <c r="R1038" s="570"/>
      <c r="S1038" s="570"/>
      <c r="T1038" s="570"/>
      <c r="U1038" s="570"/>
      <c r="V1038" s="570"/>
      <c r="W1038" s="570"/>
      <c r="X1038" s="570"/>
      <c r="Y1038" s="570"/>
      <c r="Z1038" s="570"/>
      <c r="AA1038" s="570"/>
      <c r="AB1038" s="570"/>
      <c r="AC1038" s="570"/>
      <c r="AD1038" s="570"/>
      <c r="AE1038" s="570"/>
      <c r="AF1038" s="570"/>
      <c r="AG1038" s="570"/>
      <c r="AH1038" s="570"/>
      <c r="AI1038" s="570"/>
      <c r="AJ1038" s="570"/>
      <c r="AK1038" s="570"/>
      <c r="AL1038" s="570"/>
      <c r="AM1038" s="570"/>
      <c r="AN1038" s="570"/>
      <c r="AO1038" s="570"/>
      <c r="AP1038" s="570"/>
      <c r="AQ1038" s="570"/>
      <c r="AR1038" s="570"/>
      <c r="AS1038" s="570"/>
      <c r="AT1038" s="570"/>
      <c r="AU1038" s="570"/>
    </row>
    <row r="1039" spans="1:47" ht="15.75" customHeight="1">
      <c r="A1039" s="575">
        <v>44819</v>
      </c>
      <c r="B1039" s="603" t="s">
        <v>6665</v>
      </c>
      <c r="C1039" s="405" t="s">
        <v>3793</v>
      </c>
      <c r="D1039" s="561" t="s">
        <v>6343</v>
      </c>
      <c r="E1039" s="584">
        <v>30000</v>
      </c>
      <c r="F1039" s="561" t="s">
        <v>1741</v>
      </c>
      <c r="G1039" s="571" t="s">
        <v>19</v>
      </c>
      <c r="H1039" s="571" t="s">
        <v>20</v>
      </c>
      <c r="I1039" s="571" t="s">
        <v>6332</v>
      </c>
      <c r="J1039" s="571">
        <v>44594</v>
      </c>
      <c r="K1039" s="571" t="s">
        <v>3810</v>
      </c>
      <c r="L1039" s="570"/>
      <c r="M1039" s="570"/>
      <c r="N1039" s="570"/>
      <c r="O1039" s="570"/>
      <c r="P1039" s="570"/>
      <c r="Q1039" s="570"/>
      <c r="R1039" s="570"/>
      <c r="S1039" s="570"/>
      <c r="T1039" s="570"/>
      <c r="U1039" s="570"/>
      <c r="V1039" s="570"/>
      <c r="W1039" s="570"/>
      <c r="X1039" s="570"/>
      <c r="Y1039" s="570"/>
      <c r="Z1039" s="570"/>
      <c r="AA1039" s="570"/>
      <c r="AB1039" s="570"/>
      <c r="AC1039" s="570"/>
      <c r="AD1039" s="570"/>
      <c r="AE1039" s="570"/>
      <c r="AF1039" s="570"/>
      <c r="AG1039" s="570"/>
      <c r="AH1039" s="570"/>
      <c r="AI1039" s="570"/>
      <c r="AJ1039" s="570"/>
      <c r="AK1039" s="570"/>
      <c r="AL1039" s="570"/>
      <c r="AM1039" s="570"/>
      <c r="AN1039" s="570"/>
      <c r="AO1039" s="570"/>
      <c r="AP1039" s="570"/>
      <c r="AQ1039" s="570"/>
      <c r="AR1039" s="570"/>
      <c r="AS1039" s="570"/>
      <c r="AT1039" s="570"/>
      <c r="AU1039" s="570"/>
    </row>
    <row r="1040" spans="1:47" ht="15.75" customHeight="1">
      <c r="A1040" s="575">
        <v>44820</v>
      </c>
      <c r="B1040" s="603" t="s">
        <v>6815</v>
      </c>
      <c r="C1040" s="405" t="s">
        <v>3793</v>
      </c>
      <c r="D1040" s="561" t="s">
        <v>921</v>
      </c>
      <c r="E1040" s="584">
        <v>190943.67</v>
      </c>
      <c r="F1040" s="561" t="s">
        <v>6816</v>
      </c>
      <c r="G1040" s="571" t="s">
        <v>2931</v>
      </c>
      <c r="H1040" s="571" t="s">
        <v>20</v>
      </c>
      <c r="I1040" s="571" t="s">
        <v>2931</v>
      </c>
      <c r="J1040" s="571">
        <v>44361</v>
      </c>
      <c r="K1040" s="571" t="s">
        <v>3813</v>
      </c>
      <c r="L1040" s="570"/>
      <c r="M1040" s="570"/>
      <c r="N1040" s="570"/>
      <c r="O1040" s="570"/>
      <c r="P1040" s="570"/>
      <c r="Q1040" s="570"/>
      <c r="R1040" s="570"/>
      <c r="S1040" s="570"/>
      <c r="T1040" s="570"/>
      <c r="U1040" s="570"/>
      <c r="V1040" s="570"/>
      <c r="W1040" s="570"/>
      <c r="X1040" s="570"/>
      <c r="Y1040" s="570"/>
      <c r="Z1040" s="570"/>
      <c r="AA1040" s="570"/>
      <c r="AB1040" s="570"/>
      <c r="AC1040" s="570"/>
      <c r="AD1040" s="570"/>
      <c r="AE1040" s="570"/>
      <c r="AF1040" s="570"/>
      <c r="AG1040" s="570"/>
      <c r="AH1040" s="570"/>
      <c r="AI1040" s="570"/>
      <c r="AJ1040" s="570"/>
      <c r="AK1040" s="570"/>
      <c r="AL1040" s="570"/>
      <c r="AM1040" s="570"/>
      <c r="AN1040" s="570"/>
      <c r="AO1040" s="570"/>
      <c r="AP1040" s="570"/>
      <c r="AQ1040" s="570"/>
      <c r="AR1040" s="570"/>
      <c r="AS1040" s="570"/>
      <c r="AT1040" s="570"/>
      <c r="AU1040" s="570"/>
    </row>
    <row r="1041" spans="1:47" ht="15.75" customHeight="1">
      <c r="A1041" s="575">
        <v>44820</v>
      </c>
      <c r="B1041" s="603" t="s">
        <v>6817</v>
      </c>
      <c r="C1041" s="405" t="s">
        <v>3793</v>
      </c>
      <c r="D1041" s="561" t="s">
        <v>956</v>
      </c>
      <c r="E1041" s="584">
        <v>32923.57</v>
      </c>
      <c r="F1041" s="561" t="s">
        <v>5025</v>
      </c>
      <c r="G1041" s="571" t="s">
        <v>19</v>
      </c>
      <c r="H1041" s="571" t="s">
        <v>66</v>
      </c>
      <c r="I1041" s="571" t="s">
        <v>5026</v>
      </c>
      <c r="J1041" s="571">
        <v>44623</v>
      </c>
      <c r="K1041" s="561" t="s">
        <v>6818</v>
      </c>
      <c r="L1041" s="570"/>
      <c r="M1041" s="570"/>
      <c r="N1041" s="570"/>
      <c r="O1041" s="570"/>
      <c r="P1041" s="570"/>
      <c r="Q1041" s="570"/>
      <c r="R1041" s="570"/>
      <c r="S1041" s="570"/>
      <c r="T1041" s="570"/>
      <c r="U1041" s="570"/>
      <c r="V1041" s="570"/>
      <c r="W1041" s="570"/>
      <c r="X1041" s="570"/>
      <c r="Y1041" s="570"/>
      <c r="Z1041" s="570"/>
      <c r="AA1041" s="570"/>
      <c r="AB1041" s="570"/>
      <c r="AC1041" s="570"/>
      <c r="AD1041" s="570"/>
      <c r="AE1041" s="570"/>
      <c r="AF1041" s="570"/>
      <c r="AG1041" s="570"/>
      <c r="AH1041" s="570"/>
      <c r="AI1041" s="570"/>
      <c r="AJ1041" s="570"/>
      <c r="AK1041" s="570"/>
      <c r="AL1041" s="570"/>
      <c r="AM1041" s="570"/>
      <c r="AN1041" s="570"/>
      <c r="AO1041" s="570"/>
      <c r="AP1041" s="570"/>
      <c r="AQ1041" s="570"/>
      <c r="AR1041" s="570"/>
      <c r="AS1041" s="570"/>
      <c r="AT1041" s="570"/>
      <c r="AU1041" s="570"/>
    </row>
    <row r="1042" spans="1:47" ht="15.75" customHeight="1">
      <c r="A1042" s="575">
        <v>44824</v>
      </c>
      <c r="B1042" s="603" t="s">
        <v>6806</v>
      </c>
      <c r="C1042" s="405" t="s">
        <v>3793</v>
      </c>
      <c r="D1042" s="561" t="s">
        <v>6343</v>
      </c>
      <c r="E1042" s="584">
        <v>10000</v>
      </c>
      <c r="F1042" s="561" t="s">
        <v>4091</v>
      </c>
      <c r="G1042" s="571" t="s">
        <v>19</v>
      </c>
      <c r="H1042" s="571" t="s">
        <v>66</v>
      </c>
      <c r="I1042" s="571" t="s">
        <v>144</v>
      </c>
      <c r="J1042" s="571">
        <v>44762</v>
      </c>
      <c r="K1042" s="571" t="s">
        <v>3813</v>
      </c>
      <c r="L1042" s="570"/>
      <c r="M1042" s="570"/>
      <c r="N1042" s="570"/>
      <c r="O1042" s="570"/>
      <c r="P1042" s="570"/>
      <c r="Q1042" s="570"/>
      <c r="R1042" s="570"/>
      <c r="S1042" s="570"/>
      <c r="T1042" s="570"/>
      <c r="U1042" s="570"/>
      <c r="V1042" s="570"/>
      <c r="W1042" s="570"/>
      <c r="X1042" s="570"/>
      <c r="Y1042" s="570"/>
      <c r="Z1042" s="570"/>
      <c r="AA1042" s="570"/>
      <c r="AB1042" s="570"/>
      <c r="AC1042" s="570"/>
      <c r="AD1042" s="570"/>
      <c r="AE1042" s="570"/>
      <c r="AF1042" s="570"/>
      <c r="AG1042" s="570"/>
      <c r="AH1042" s="570"/>
      <c r="AI1042" s="570"/>
      <c r="AJ1042" s="570"/>
      <c r="AK1042" s="570"/>
      <c r="AL1042" s="570"/>
      <c r="AM1042" s="570"/>
      <c r="AN1042" s="570"/>
      <c r="AO1042" s="570"/>
      <c r="AP1042" s="570"/>
      <c r="AQ1042" s="570"/>
      <c r="AR1042" s="570"/>
      <c r="AS1042" s="570"/>
      <c r="AT1042" s="570"/>
      <c r="AU1042" s="570"/>
    </row>
    <row r="1043" spans="1:47" ht="15.75" customHeight="1">
      <c r="A1043" s="575">
        <v>44824</v>
      </c>
      <c r="B1043" s="603" t="s">
        <v>6819</v>
      </c>
      <c r="C1043" s="405" t="s">
        <v>3793</v>
      </c>
      <c r="D1043" s="561" t="s">
        <v>6343</v>
      </c>
      <c r="E1043" s="584">
        <v>96196</v>
      </c>
      <c r="F1043" s="561" t="s">
        <v>4520</v>
      </c>
      <c r="G1043" s="571" t="s">
        <v>19</v>
      </c>
      <c r="H1043" s="571" t="s">
        <v>20</v>
      </c>
      <c r="I1043" s="571" t="s">
        <v>4136</v>
      </c>
      <c r="J1043" s="571">
        <v>44218</v>
      </c>
      <c r="K1043" s="571" t="s">
        <v>3797</v>
      </c>
      <c r="L1043" s="570"/>
      <c r="M1043" s="570"/>
      <c r="N1043" s="570"/>
      <c r="O1043" s="570"/>
      <c r="P1043" s="570"/>
      <c r="Q1043" s="570"/>
      <c r="R1043" s="570"/>
      <c r="S1043" s="570"/>
      <c r="T1043" s="570"/>
      <c r="U1043" s="570"/>
      <c r="V1043" s="570"/>
      <c r="W1043" s="570"/>
      <c r="X1043" s="570"/>
      <c r="Y1043" s="570"/>
      <c r="Z1043" s="570"/>
      <c r="AA1043" s="570"/>
      <c r="AB1043" s="570"/>
      <c r="AC1043" s="570"/>
      <c r="AD1043" s="570"/>
      <c r="AE1043" s="570"/>
      <c r="AF1043" s="570"/>
      <c r="AG1043" s="570"/>
      <c r="AH1043" s="570"/>
      <c r="AI1043" s="570"/>
      <c r="AJ1043" s="570"/>
      <c r="AK1043" s="570"/>
      <c r="AL1043" s="570"/>
      <c r="AM1043" s="570"/>
      <c r="AN1043" s="570"/>
      <c r="AO1043" s="570"/>
      <c r="AP1043" s="570"/>
      <c r="AQ1043" s="570"/>
      <c r="AR1043" s="570"/>
      <c r="AS1043" s="570"/>
      <c r="AT1043" s="570"/>
      <c r="AU1043" s="570"/>
    </row>
    <row r="1044" spans="1:47" ht="15.75" customHeight="1">
      <c r="A1044" s="575">
        <v>44825</v>
      </c>
      <c r="B1044" s="603">
        <v>5663320</v>
      </c>
      <c r="C1044" s="405" t="s">
        <v>3793</v>
      </c>
      <c r="D1044" s="561" t="s">
        <v>6343</v>
      </c>
      <c r="E1044" s="584">
        <v>21000</v>
      </c>
      <c r="F1044" s="561" t="s">
        <v>4943</v>
      </c>
      <c r="G1044" s="571" t="s">
        <v>19</v>
      </c>
      <c r="H1044" s="571" t="s">
        <v>20</v>
      </c>
      <c r="I1044" s="571" t="s">
        <v>21</v>
      </c>
      <c r="J1044" s="571">
        <v>44385</v>
      </c>
      <c r="K1044" s="571" t="s">
        <v>3850</v>
      </c>
      <c r="L1044" s="570"/>
      <c r="M1044" s="570"/>
      <c r="N1044" s="570"/>
      <c r="O1044" s="570"/>
      <c r="P1044" s="570"/>
      <c r="Q1044" s="570"/>
      <c r="R1044" s="570"/>
      <c r="S1044" s="570"/>
      <c r="T1044" s="570"/>
      <c r="U1044" s="570"/>
      <c r="V1044" s="570"/>
      <c r="W1044" s="570"/>
      <c r="X1044" s="570"/>
      <c r="Y1044" s="570"/>
      <c r="Z1044" s="570"/>
      <c r="AA1044" s="570"/>
      <c r="AB1044" s="570"/>
      <c r="AC1044" s="570"/>
      <c r="AD1044" s="570"/>
      <c r="AE1044" s="570"/>
      <c r="AF1044" s="570"/>
      <c r="AG1044" s="570"/>
      <c r="AH1044" s="570"/>
      <c r="AI1044" s="570"/>
      <c r="AJ1044" s="570"/>
      <c r="AK1044" s="570"/>
      <c r="AL1044" s="570"/>
      <c r="AM1044" s="570"/>
      <c r="AN1044" s="570"/>
      <c r="AO1044" s="570"/>
      <c r="AP1044" s="570"/>
      <c r="AQ1044" s="570"/>
      <c r="AR1044" s="570"/>
      <c r="AS1044" s="570"/>
      <c r="AT1044" s="570"/>
      <c r="AU1044" s="570"/>
    </row>
    <row r="1045" spans="1:47" ht="15.75" customHeight="1">
      <c r="A1045" s="575">
        <v>44826</v>
      </c>
      <c r="B1045" s="603" t="s">
        <v>6820</v>
      </c>
      <c r="C1045" s="405" t="s">
        <v>3793</v>
      </c>
      <c r="D1045" s="561" t="s">
        <v>956</v>
      </c>
      <c r="E1045" s="584" t="s">
        <v>3154</v>
      </c>
      <c r="F1045" s="561" t="s">
        <v>6821</v>
      </c>
      <c r="G1045" s="571" t="s">
        <v>19</v>
      </c>
      <c r="H1045" s="571" t="s">
        <v>35</v>
      </c>
      <c r="I1045" s="571" t="s">
        <v>250</v>
      </c>
      <c r="J1045" s="571">
        <v>44824</v>
      </c>
      <c r="K1045" s="571" t="s">
        <v>3817</v>
      </c>
      <c r="L1045" s="570"/>
      <c r="M1045" s="570"/>
      <c r="N1045" s="570"/>
      <c r="O1045" s="570"/>
      <c r="P1045" s="570"/>
      <c r="Q1045" s="570"/>
      <c r="R1045" s="570"/>
      <c r="S1045" s="570"/>
      <c r="T1045" s="570"/>
      <c r="U1045" s="570"/>
      <c r="V1045" s="570"/>
      <c r="W1045" s="570"/>
      <c r="X1045" s="570"/>
      <c r="Y1045" s="570"/>
      <c r="Z1045" s="570"/>
      <c r="AA1045" s="570"/>
      <c r="AB1045" s="570"/>
      <c r="AC1045" s="570"/>
      <c r="AD1045" s="570"/>
      <c r="AE1045" s="570"/>
      <c r="AF1045" s="570"/>
      <c r="AG1045" s="570"/>
      <c r="AH1045" s="570"/>
      <c r="AI1045" s="570"/>
      <c r="AJ1045" s="570"/>
      <c r="AK1045" s="570"/>
      <c r="AL1045" s="570"/>
      <c r="AM1045" s="570"/>
      <c r="AN1045" s="570"/>
      <c r="AO1045" s="570"/>
      <c r="AP1045" s="570"/>
      <c r="AQ1045" s="570"/>
      <c r="AR1045" s="570"/>
      <c r="AS1045" s="570"/>
      <c r="AT1045" s="570"/>
      <c r="AU1045" s="570"/>
    </row>
    <row r="1046" spans="1:47" ht="15.75" customHeight="1">
      <c r="A1046" s="575">
        <v>44827</v>
      </c>
      <c r="B1046" s="603" t="s">
        <v>6822</v>
      </c>
      <c r="C1046" s="405" t="s">
        <v>3793</v>
      </c>
      <c r="D1046" s="561" t="s">
        <v>6343</v>
      </c>
      <c r="E1046" s="584">
        <v>60000</v>
      </c>
      <c r="F1046" s="561" t="s">
        <v>3845</v>
      </c>
      <c r="G1046" s="571" t="s">
        <v>19</v>
      </c>
      <c r="H1046" s="571" t="s">
        <v>20</v>
      </c>
      <c r="I1046" s="571" t="s">
        <v>21</v>
      </c>
      <c r="J1046" s="571">
        <v>44652</v>
      </c>
      <c r="K1046" s="571" t="s">
        <v>3810</v>
      </c>
      <c r="L1046" s="570"/>
      <c r="M1046" s="570"/>
      <c r="N1046" s="570"/>
      <c r="O1046" s="570"/>
      <c r="P1046" s="570"/>
      <c r="Q1046" s="570"/>
      <c r="R1046" s="570"/>
      <c r="S1046" s="570"/>
      <c r="T1046" s="570"/>
      <c r="U1046" s="570"/>
      <c r="V1046" s="570"/>
      <c r="W1046" s="570"/>
      <c r="X1046" s="570"/>
      <c r="Y1046" s="570"/>
      <c r="Z1046" s="570"/>
      <c r="AA1046" s="570"/>
      <c r="AB1046" s="570"/>
      <c r="AC1046" s="570"/>
      <c r="AD1046" s="570"/>
      <c r="AE1046" s="570"/>
      <c r="AF1046" s="570"/>
      <c r="AG1046" s="570"/>
      <c r="AH1046" s="570"/>
      <c r="AI1046" s="570"/>
      <c r="AJ1046" s="570"/>
      <c r="AK1046" s="570"/>
      <c r="AL1046" s="570"/>
      <c r="AM1046" s="570"/>
      <c r="AN1046" s="570"/>
      <c r="AO1046" s="570"/>
      <c r="AP1046" s="570"/>
      <c r="AQ1046" s="570"/>
      <c r="AR1046" s="570"/>
      <c r="AS1046" s="570"/>
      <c r="AT1046" s="570"/>
      <c r="AU1046" s="570"/>
    </row>
    <row r="1047" spans="1:47" ht="15.75" customHeight="1">
      <c r="A1047" s="575">
        <v>44827</v>
      </c>
      <c r="B1047" s="603" t="s">
        <v>6802</v>
      </c>
      <c r="C1047" s="405" t="s">
        <v>3793</v>
      </c>
      <c r="D1047" s="561" t="s">
        <v>6343</v>
      </c>
      <c r="E1047" s="584">
        <v>18000</v>
      </c>
      <c r="F1047" s="561" t="s">
        <v>4707</v>
      </c>
      <c r="G1047" s="571" t="s">
        <v>19</v>
      </c>
      <c r="H1047" s="571" t="s">
        <v>66</v>
      </c>
      <c r="I1047" s="571" t="s">
        <v>6803</v>
      </c>
      <c r="J1047" s="571">
        <v>44776</v>
      </c>
      <c r="K1047" s="571" t="s">
        <v>3817</v>
      </c>
      <c r="L1047" s="570"/>
      <c r="M1047" s="570"/>
      <c r="N1047" s="570"/>
      <c r="O1047" s="570"/>
      <c r="P1047" s="570"/>
      <c r="Q1047" s="570"/>
      <c r="R1047" s="570"/>
      <c r="S1047" s="570"/>
      <c r="T1047" s="570"/>
      <c r="U1047" s="570"/>
      <c r="V1047" s="570"/>
      <c r="W1047" s="570"/>
      <c r="X1047" s="570"/>
      <c r="Y1047" s="570"/>
      <c r="Z1047" s="570"/>
      <c r="AA1047" s="570"/>
      <c r="AB1047" s="570"/>
      <c r="AC1047" s="570"/>
      <c r="AD1047" s="570"/>
      <c r="AE1047" s="570"/>
      <c r="AF1047" s="570"/>
      <c r="AG1047" s="570"/>
      <c r="AH1047" s="570"/>
      <c r="AI1047" s="570"/>
      <c r="AJ1047" s="570"/>
      <c r="AK1047" s="570"/>
      <c r="AL1047" s="570"/>
      <c r="AM1047" s="570"/>
      <c r="AN1047" s="570"/>
      <c r="AO1047" s="570"/>
      <c r="AP1047" s="570"/>
      <c r="AQ1047" s="570"/>
      <c r="AR1047" s="570"/>
      <c r="AS1047" s="570"/>
      <c r="AT1047" s="570"/>
      <c r="AU1047" s="570"/>
    </row>
    <row r="1048" spans="1:47" ht="15.75" customHeight="1">
      <c r="A1048" s="575">
        <v>44830</v>
      </c>
      <c r="B1048" s="603" t="s">
        <v>6823</v>
      </c>
      <c r="C1048" s="405" t="s">
        <v>3793</v>
      </c>
      <c r="D1048" s="561" t="s">
        <v>956</v>
      </c>
      <c r="E1048" s="584">
        <v>156696.82</v>
      </c>
      <c r="F1048" s="561" t="s">
        <v>6824</v>
      </c>
      <c r="G1048" s="571" t="s">
        <v>19</v>
      </c>
      <c r="H1048" s="571" t="s">
        <v>66</v>
      </c>
      <c r="I1048" s="571" t="s">
        <v>4142</v>
      </c>
      <c r="J1048" s="571">
        <v>44461</v>
      </c>
      <c r="K1048" s="571" t="s">
        <v>3810</v>
      </c>
      <c r="L1048" s="570"/>
      <c r="M1048" s="570"/>
      <c r="N1048" s="570"/>
      <c r="O1048" s="570"/>
      <c r="P1048" s="570"/>
      <c r="Q1048" s="570"/>
      <c r="R1048" s="570"/>
      <c r="S1048" s="570"/>
      <c r="T1048" s="570"/>
      <c r="U1048" s="570"/>
      <c r="V1048" s="570"/>
      <c r="W1048" s="570"/>
      <c r="X1048" s="570"/>
      <c r="Y1048" s="570"/>
      <c r="Z1048" s="570"/>
      <c r="AA1048" s="570"/>
      <c r="AB1048" s="570"/>
      <c r="AC1048" s="570"/>
      <c r="AD1048" s="570"/>
      <c r="AE1048" s="570"/>
      <c r="AF1048" s="570"/>
      <c r="AG1048" s="570"/>
      <c r="AH1048" s="570"/>
      <c r="AI1048" s="570"/>
      <c r="AJ1048" s="570"/>
      <c r="AK1048" s="570"/>
      <c r="AL1048" s="570"/>
      <c r="AM1048" s="570"/>
      <c r="AN1048" s="570"/>
      <c r="AO1048" s="570"/>
      <c r="AP1048" s="570"/>
      <c r="AQ1048" s="570"/>
      <c r="AR1048" s="570"/>
      <c r="AS1048" s="570"/>
      <c r="AT1048" s="570"/>
      <c r="AU1048" s="570"/>
    </row>
    <row r="1049" spans="1:47" ht="15.75" customHeight="1">
      <c r="A1049" s="575">
        <v>44837</v>
      </c>
      <c r="B1049" s="603" t="s">
        <v>6825</v>
      </c>
      <c r="C1049" s="405" t="s">
        <v>3793</v>
      </c>
      <c r="D1049" s="561" t="s">
        <v>6343</v>
      </c>
      <c r="E1049" s="584">
        <v>4800</v>
      </c>
      <c r="F1049" s="561" t="s">
        <v>631</v>
      </c>
      <c r="G1049" s="571" t="s">
        <v>19</v>
      </c>
      <c r="H1049" s="571" t="s">
        <v>20</v>
      </c>
      <c r="I1049" s="571" t="s">
        <v>184</v>
      </c>
      <c r="J1049" s="571">
        <v>44819</v>
      </c>
      <c r="K1049" s="571" t="s">
        <v>3813</v>
      </c>
      <c r="L1049" s="570"/>
      <c r="M1049" s="570"/>
      <c r="N1049" s="570"/>
      <c r="O1049" s="570"/>
      <c r="P1049" s="570"/>
      <c r="Q1049" s="570"/>
      <c r="R1049" s="570"/>
      <c r="S1049" s="570"/>
      <c r="T1049" s="570"/>
      <c r="U1049" s="570"/>
      <c r="V1049" s="570"/>
      <c r="W1049" s="570"/>
      <c r="X1049" s="570"/>
      <c r="Y1049" s="570"/>
      <c r="Z1049" s="570"/>
      <c r="AA1049" s="570"/>
      <c r="AB1049" s="570"/>
      <c r="AC1049" s="570"/>
      <c r="AD1049" s="570"/>
      <c r="AE1049" s="570"/>
      <c r="AF1049" s="570"/>
      <c r="AG1049" s="570"/>
      <c r="AH1049" s="570"/>
      <c r="AI1049" s="570"/>
      <c r="AJ1049" s="570"/>
      <c r="AK1049" s="570"/>
      <c r="AL1049" s="570"/>
      <c r="AM1049" s="570"/>
      <c r="AN1049" s="570"/>
      <c r="AO1049" s="570"/>
      <c r="AP1049" s="570"/>
      <c r="AQ1049" s="570"/>
      <c r="AR1049" s="570"/>
      <c r="AS1049" s="570"/>
      <c r="AT1049" s="570"/>
      <c r="AU1049" s="570"/>
    </row>
    <row r="1050" spans="1:47" ht="15.75" customHeight="1">
      <c r="A1050" s="575">
        <v>44837</v>
      </c>
      <c r="B1050" s="603" t="s">
        <v>6825</v>
      </c>
      <c r="C1050" s="405" t="s">
        <v>3793</v>
      </c>
      <c r="D1050" s="561" t="s">
        <v>6343</v>
      </c>
      <c r="E1050" s="584">
        <v>7477.76</v>
      </c>
      <c r="F1050" s="561" t="s">
        <v>631</v>
      </c>
      <c r="G1050" s="571" t="s">
        <v>19</v>
      </c>
      <c r="H1050" s="571" t="s">
        <v>20</v>
      </c>
      <c r="I1050" s="571" t="s">
        <v>184</v>
      </c>
      <c r="J1050" s="571">
        <v>44819</v>
      </c>
      <c r="K1050" s="571" t="s">
        <v>3813</v>
      </c>
      <c r="L1050" s="570"/>
      <c r="M1050" s="570"/>
      <c r="N1050" s="570"/>
      <c r="O1050" s="570"/>
      <c r="P1050" s="570"/>
      <c r="Q1050" s="570"/>
      <c r="R1050" s="570"/>
      <c r="S1050" s="570"/>
      <c r="T1050" s="570"/>
      <c r="U1050" s="570"/>
      <c r="V1050" s="570"/>
      <c r="W1050" s="570"/>
      <c r="X1050" s="570"/>
      <c r="Y1050" s="570"/>
      <c r="Z1050" s="570"/>
      <c r="AA1050" s="570"/>
      <c r="AB1050" s="570"/>
      <c r="AC1050" s="570"/>
      <c r="AD1050" s="570"/>
      <c r="AE1050" s="570"/>
      <c r="AF1050" s="570"/>
      <c r="AG1050" s="570"/>
      <c r="AH1050" s="570"/>
      <c r="AI1050" s="570"/>
      <c r="AJ1050" s="570"/>
      <c r="AK1050" s="570"/>
      <c r="AL1050" s="570"/>
      <c r="AM1050" s="570"/>
      <c r="AN1050" s="570"/>
      <c r="AO1050" s="570"/>
      <c r="AP1050" s="570"/>
      <c r="AQ1050" s="570"/>
      <c r="AR1050" s="570"/>
      <c r="AS1050" s="570"/>
      <c r="AT1050" s="570"/>
      <c r="AU1050" s="570"/>
    </row>
    <row r="1051" spans="1:47" ht="15.75" customHeight="1">
      <c r="A1051" s="575">
        <v>44837</v>
      </c>
      <c r="B1051" s="603" t="s">
        <v>6826</v>
      </c>
      <c r="C1051" s="405" t="s">
        <v>3793</v>
      </c>
      <c r="D1051" s="561" t="s">
        <v>6343</v>
      </c>
      <c r="E1051" s="584">
        <v>199998</v>
      </c>
      <c r="F1051" s="561" t="s">
        <v>4554</v>
      </c>
      <c r="G1051" s="571" t="s">
        <v>19</v>
      </c>
      <c r="H1051" s="571" t="s">
        <v>66</v>
      </c>
      <c r="I1051" s="571" t="s">
        <v>316</v>
      </c>
      <c r="J1051" s="571">
        <v>44739</v>
      </c>
      <c r="K1051" s="571" t="s">
        <v>3810</v>
      </c>
      <c r="L1051" s="570"/>
      <c r="M1051" s="570"/>
      <c r="N1051" s="570"/>
      <c r="O1051" s="570"/>
      <c r="P1051" s="570"/>
      <c r="Q1051" s="570"/>
      <c r="R1051" s="570"/>
      <c r="S1051" s="570"/>
      <c r="T1051" s="570"/>
      <c r="U1051" s="570"/>
      <c r="V1051" s="570"/>
      <c r="W1051" s="570"/>
      <c r="X1051" s="570"/>
      <c r="Y1051" s="570"/>
      <c r="Z1051" s="570"/>
      <c r="AA1051" s="570"/>
      <c r="AB1051" s="570"/>
      <c r="AC1051" s="570"/>
      <c r="AD1051" s="570"/>
      <c r="AE1051" s="570"/>
      <c r="AF1051" s="570"/>
      <c r="AG1051" s="570"/>
      <c r="AH1051" s="570"/>
      <c r="AI1051" s="570"/>
      <c r="AJ1051" s="570"/>
      <c r="AK1051" s="570"/>
      <c r="AL1051" s="570"/>
      <c r="AM1051" s="570"/>
      <c r="AN1051" s="570"/>
      <c r="AO1051" s="570"/>
      <c r="AP1051" s="570"/>
      <c r="AQ1051" s="570"/>
      <c r="AR1051" s="570"/>
      <c r="AS1051" s="570"/>
      <c r="AT1051" s="570"/>
      <c r="AU1051" s="570"/>
    </row>
    <row r="1052" spans="1:47" ht="15.75" customHeight="1">
      <c r="A1052" s="575">
        <v>44838</v>
      </c>
      <c r="B1052" s="603" t="s">
        <v>6827</v>
      </c>
      <c r="C1052" s="405" t="s">
        <v>3793</v>
      </c>
      <c r="D1052" s="561" t="s">
        <v>956</v>
      </c>
      <c r="E1052" s="584">
        <v>104271.35</v>
      </c>
      <c r="F1052" s="561" t="s">
        <v>3918</v>
      </c>
      <c r="G1052" s="571" t="s">
        <v>19</v>
      </c>
      <c r="H1052" s="571" t="s">
        <v>66</v>
      </c>
      <c r="I1052" s="571" t="s">
        <v>316</v>
      </c>
      <c r="J1052" s="571">
        <v>44460</v>
      </c>
      <c r="K1052" s="571" t="s">
        <v>3919</v>
      </c>
      <c r="L1052" s="570"/>
      <c r="M1052" s="570"/>
      <c r="N1052" s="570"/>
      <c r="O1052" s="570"/>
      <c r="P1052" s="570"/>
      <c r="Q1052" s="570"/>
      <c r="R1052" s="570"/>
      <c r="S1052" s="570"/>
      <c r="T1052" s="570"/>
      <c r="U1052" s="570"/>
      <c r="V1052" s="570"/>
      <c r="W1052" s="570"/>
      <c r="X1052" s="570"/>
      <c r="Y1052" s="570"/>
      <c r="Z1052" s="570"/>
      <c r="AA1052" s="570"/>
      <c r="AB1052" s="570"/>
      <c r="AC1052" s="570"/>
      <c r="AD1052" s="570"/>
      <c r="AE1052" s="570"/>
      <c r="AF1052" s="570"/>
      <c r="AG1052" s="570"/>
      <c r="AH1052" s="570"/>
      <c r="AI1052" s="570"/>
      <c r="AJ1052" s="570"/>
      <c r="AK1052" s="570"/>
      <c r="AL1052" s="570"/>
      <c r="AM1052" s="570"/>
      <c r="AN1052" s="570"/>
      <c r="AO1052" s="570"/>
      <c r="AP1052" s="570"/>
      <c r="AQ1052" s="570"/>
      <c r="AR1052" s="570"/>
      <c r="AS1052" s="570"/>
      <c r="AT1052" s="570"/>
      <c r="AU1052" s="570"/>
    </row>
    <row r="1053" spans="1:47" ht="15.75" customHeight="1">
      <c r="A1053" s="575">
        <v>44839</v>
      </c>
      <c r="B1053" s="603" t="s">
        <v>6809</v>
      </c>
      <c r="C1053" s="405" t="s">
        <v>3793</v>
      </c>
      <c r="D1053" s="561" t="s">
        <v>6343</v>
      </c>
      <c r="E1053" s="584">
        <v>400000</v>
      </c>
      <c r="F1053" s="561" t="s">
        <v>1922</v>
      </c>
      <c r="G1053" s="571" t="s">
        <v>19</v>
      </c>
      <c r="H1053" s="571" t="s">
        <v>66</v>
      </c>
      <c r="I1053" s="571" t="s">
        <v>265</v>
      </c>
      <c r="J1053" s="571">
        <v>44698</v>
      </c>
      <c r="K1053" s="571" t="s">
        <v>3817</v>
      </c>
      <c r="L1053" s="570"/>
      <c r="M1053" s="570"/>
      <c r="N1053" s="570"/>
      <c r="O1053" s="570"/>
      <c r="P1053" s="570"/>
      <c r="Q1053" s="570"/>
      <c r="R1053" s="570"/>
      <c r="S1053" s="570"/>
      <c r="T1053" s="570"/>
      <c r="U1053" s="570"/>
      <c r="V1053" s="570"/>
      <c r="W1053" s="570"/>
      <c r="X1053" s="570"/>
      <c r="Y1053" s="570"/>
      <c r="Z1053" s="570"/>
      <c r="AA1053" s="570"/>
      <c r="AB1053" s="570"/>
      <c r="AC1053" s="570"/>
      <c r="AD1053" s="570"/>
      <c r="AE1053" s="570"/>
      <c r="AF1053" s="570"/>
      <c r="AG1053" s="570"/>
      <c r="AH1053" s="570"/>
      <c r="AI1053" s="570"/>
      <c r="AJ1053" s="570"/>
      <c r="AK1053" s="570"/>
      <c r="AL1053" s="570"/>
      <c r="AM1053" s="570"/>
      <c r="AN1053" s="570"/>
      <c r="AO1053" s="570"/>
      <c r="AP1053" s="570"/>
      <c r="AQ1053" s="570"/>
      <c r="AR1053" s="570"/>
      <c r="AS1053" s="570"/>
      <c r="AT1053" s="570"/>
      <c r="AU1053" s="570"/>
    </row>
    <row r="1054" spans="1:47" ht="15.75" customHeight="1">
      <c r="A1054" s="575">
        <v>44839</v>
      </c>
      <c r="B1054" s="603" t="s">
        <v>6414</v>
      </c>
      <c r="C1054" s="405" t="s">
        <v>3793</v>
      </c>
      <c r="D1054" s="561" t="s">
        <v>6343</v>
      </c>
      <c r="E1054" s="584">
        <v>10000</v>
      </c>
      <c r="F1054" s="561" t="s">
        <v>4381</v>
      </c>
      <c r="G1054" s="571" t="s">
        <v>46</v>
      </c>
      <c r="H1054" s="571" t="s">
        <v>20</v>
      </c>
      <c r="I1054" s="571" t="s">
        <v>3870</v>
      </c>
      <c r="J1054" s="571">
        <v>44263</v>
      </c>
      <c r="K1054" s="571" t="s">
        <v>3803</v>
      </c>
      <c r="L1054" s="570"/>
      <c r="M1054" s="570"/>
      <c r="N1054" s="570"/>
      <c r="O1054" s="570"/>
      <c r="P1054" s="570"/>
      <c r="Q1054" s="570"/>
      <c r="R1054" s="570"/>
      <c r="S1054" s="570"/>
      <c r="T1054" s="570"/>
      <c r="U1054" s="570"/>
      <c r="V1054" s="570"/>
      <c r="W1054" s="570"/>
      <c r="X1054" s="570"/>
      <c r="Y1054" s="570"/>
      <c r="Z1054" s="570"/>
      <c r="AA1054" s="570"/>
      <c r="AB1054" s="570"/>
      <c r="AC1054" s="570"/>
      <c r="AD1054" s="570"/>
      <c r="AE1054" s="570"/>
      <c r="AF1054" s="570"/>
      <c r="AG1054" s="570"/>
      <c r="AH1054" s="570"/>
      <c r="AI1054" s="570"/>
      <c r="AJ1054" s="570"/>
      <c r="AK1054" s="570"/>
      <c r="AL1054" s="570"/>
      <c r="AM1054" s="570"/>
      <c r="AN1054" s="570"/>
      <c r="AO1054" s="570"/>
      <c r="AP1054" s="570"/>
      <c r="AQ1054" s="570"/>
      <c r="AR1054" s="570"/>
      <c r="AS1054" s="570"/>
      <c r="AT1054" s="570"/>
      <c r="AU1054" s="570"/>
    </row>
    <row r="1055" spans="1:47" ht="15.75" customHeight="1">
      <c r="A1055" s="575">
        <v>44844</v>
      </c>
      <c r="B1055" s="603" t="s">
        <v>6665</v>
      </c>
      <c r="C1055" s="405" t="s">
        <v>3793</v>
      </c>
      <c r="D1055" s="561" t="s">
        <v>6343</v>
      </c>
      <c r="E1055" s="584">
        <v>30000</v>
      </c>
      <c r="F1055" s="561" t="s">
        <v>1741</v>
      </c>
      <c r="G1055" s="571" t="s">
        <v>19</v>
      </c>
      <c r="H1055" s="571" t="s">
        <v>20</v>
      </c>
      <c r="I1055" s="571" t="s">
        <v>6332</v>
      </c>
      <c r="J1055" s="571">
        <v>44594</v>
      </c>
      <c r="K1055" s="571" t="s">
        <v>3810</v>
      </c>
      <c r="L1055" s="570"/>
      <c r="M1055" s="570"/>
      <c r="N1055" s="570"/>
      <c r="O1055" s="570"/>
      <c r="P1055" s="570"/>
      <c r="Q1055" s="570"/>
      <c r="R1055" s="570"/>
      <c r="S1055" s="570"/>
      <c r="T1055" s="570"/>
      <c r="U1055" s="570"/>
      <c r="V1055" s="570"/>
      <c r="W1055" s="570"/>
      <c r="X1055" s="570"/>
      <c r="Y1055" s="570"/>
      <c r="Z1055" s="570"/>
      <c r="AA1055" s="570"/>
      <c r="AB1055" s="570"/>
      <c r="AC1055" s="570"/>
      <c r="AD1055" s="570"/>
      <c r="AE1055" s="570"/>
      <c r="AF1055" s="570"/>
      <c r="AG1055" s="570"/>
      <c r="AH1055" s="570"/>
      <c r="AI1055" s="570"/>
      <c r="AJ1055" s="570"/>
      <c r="AK1055" s="570"/>
      <c r="AL1055" s="570"/>
      <c r="AM1055" s="570"/>
      <c r="AN1055" s="570"/>
      <c r="AO1055" s="570"/>
      <c r="AP1055" s="570"/>
      <c r="AQ1055" s="570"/>
      <c r="AR1055" s="570"/>
      <c r="AS1055" s="570"/>
      <c r="AT1055" s="570"/>
      <c r="AU1055" s="570"/>
    </row>
    <row r="1056" spans="1:47" ht="15.75" customHeight="1">
      <c r="A1056" s="575">
        <v>44845</v>
      </c>
      <c r="B1056" s="603" t="s">
        <v>6828</v>
      </c>
      <c r="C1056" s="405" t="s">
        <v>3793</v>
      </c>
      <c r="D1056" s="561" t="s">
        <v>6343</v>
      </c>
      <c r="E1056" s="584">
        <v>10000</v>
      </c>
      <c r="F1056" s="561" t="s">
        <v>3933</v>
      </c>
      <c r="G1056" s="571" t="s">
        <v>46</v>
      </c>
      <c r="H1056" s="571" t="s">
        <v>20</v>
      </c>
      <c r="I1056" s="571" t="s">
        <v>3640</v>
      </c>
      <c r="J1056" s="571">
        <v>44217</v>
      </c>
      <c r="K1056" s="571" t="s">
        <v>3803</v>
      </c>
      <c r="L1056" s="570"/>
      <c r="M1056" s="570"/>
      <c r="N1056" s="570"/>
      <c r="O1056" s="570"/>
      <c r="P1056" s="570"/>
      <c r="Q1056" s="570"/>
      <c r="R1056" s="570"/>
      <c r="S1056" s="570"/>
      <c r="T1056" s="570"/>
      <c r="U1056" s="570"/>
      <c r="V1056" s="570"/>
      <c r="W1056" s="570"/>
      <c r="X1056" s="570"/>
      <c r="Y1056" s="570"/>
      <c r="Z1056" s="570"/>
      <c r="AA1056" s="570"/>
      <c r="AB1056" s="570"/>
      <c r="AC1056" s="570"/>
      <c r="AD1056" s="570"/>
      <c r="AE1056" s="570"/>
      <c r="AF1056" s="570"/>
      <c r="AG1056" s="570"/>
      <c r="AH1056" s="570"/>
      <c r="AI1056" s="570"/>
      <c r="AJ1056" s="570"/>
      <c r="AK1056" s="570"/>
      <c r="AL1056" s="570"/>
      <c r="AM1056" s="570"/>
      <c r="AN1056" s="570"/>
      <c r="AO1056" s="570"/>
      <c r="AP1056" s="570"/>
      <c r="AQ1056" s="570"/>
      <c r="AR1056" s="570"/>
      <c r="AS1056" s="570"/>
      <c r="AT1056" s="570"/>
      <c r="AU1056" s="570"/>
    </row>
    <row r="1057" spans="1:47" ht="15.75" customHeight="1">
      <c r="A1057" s="575">
        <v>44845</v>
      </c>
      <c r="B1057" s="603" t="s">
        <v>6829</v>
      </c>
      <c r="C1057" s="405" t="s">
        <v>3793</v>
      </c>
      <c r="D1057" s="561" t="s">
        <v>6343</v>
      </c>
      <c r="E1057" s="584">
        <v>2000</v>
      </c>
      <c r="F1057" s="561" t="s">
        <v>779</v>
      </c>
      <c r="G1057" s="571" t="s">
        <v>46</v>
      </c>
      <c r="H1057" s="571" t="s">
        <v>20</v>
      </c>
      <c r="I1057" s="571" t="s">
        <v>6284</v>
      </c>
      <c r="J1057" s="571">
        <v>44421</v>
      </c>
      <c r="K1057" s="571" t="s">
        <v>3803</v>
      </c>
      <c r="L1057" s="570"/>
      <c r="M1057" s="570"/>
      <c r="N1057" s="570"/>
      <c r="O1057" s="570"/>
      <c r="P1057" s="570"/>
      <c r="Q1057" s="570"/>
      <c r="R1057" s="570"/>
      <c r="S1057" s="570"/>
      <c r="T1057" s="570"/>
      <c r="U1057" s="570"/>
      <c r="V1057" s="570"/>
      <c r="W1057" s="570"/>
      <c r="X1057" s="570"/>
      <c r="Y1057" s="570"/>
      <c r="Z1057" s="570"/>
      <c r="AA1057" s="570"/>
      <c r="AB1057" s="570"/>
      <c r="AC1057" s="570"/>
      <c r="AD1057" s="570"/>
      <c r="AE1057" s="570"/>
      <c r="AF1057" s="570"/>
      <c r="AG1057" s="570"/>
      <c r="AH1057" s="570"/>
      <c r="AI1057" s="570"/>
      <c r="AJ1057" s="570"/>
      <c r="AK1057" s="570"/>
      <c r="AL1057" s="570"/>
      <c r="AM1057" s="570"/>
      <c r="AN1057" s="570"/>
      <c r="AO1057" s="570"/>
      <c r="AP1057" s="570"/>
      <c r="AQ1057" s="570"/>
      <c r="AR1057" s="570"/>
      <c r="AS1057" s="570"/>
      <c r="AT1057" s="570"/>
      <c r="AU1057" s="570"/>
    </row>
    <row r="1058" spans="1:47" ht="15.75" customHeight="1">
      <c r="A1058" s="575">
        <v>44847</v>
      </c>
      <c r="B1058" s="603" t="s">
        <v>6809</v>
      </c>
      <c r="C1058" s="405" t="s">
        <v>3793</v>
      </c>
      <c r="D1058" s="561" t="s">
        <v>6343</v>
      </c>
      <c r="E1058" s="584">
        <v>122000</v>
      </c>
      <c r="F1058" s="561" t="s">
        <v>4864</v>
      </c>
      <c r="G1058" s="571" t="s">
        <v>19</v>
      </c>
      <c r="H1058" s="571" t="s">
        <v>66</v>
      </c>
      <c r="I1058" s="571" t="s">
        <v>265</v>
      </c>
      <c r="J1058" s="571">
        <v>44698</v>
      </c>
      <c r="K1058" s="571" t="s">
        <v>3817</v>
      </c>
      <c r="L1058" s="570"/>
      <c r="M1058" s="570"/>
      <c r="N1058" s="570"/>
      <c r="O1058" s="570"/>
      <c r="P1058" s="570"/>
      <c r="Q1058" s="570"/>
      <c r="R1058" s="570"/>
      <c r="S1058" s="570"/>
      <c r="T1058" s="570"/>
      <c r="U1058" s="570"/>
      <c r="V1058" s="570"/>
      <c r="W1058" s="570"/>
      <c r="X1058" s="570"/>
      <c r="Y1058" s="570"/>
      <c r="Z1058" s="570"/>
      <c r="AA1058" s="570"/>
      <c r="AB1058" s="570"/>
      <c r="AC1058" s="570"/>
      <c r="AD1058" s="570"/>
      <c r="AE1058" s="570"/>
      <c r="AF1058" s="570"/>
      <c r="AG1058" s="570"/>
      <c r="AH1058" s="570"/>
      <c r="AI1058" s="570"/>
      <c r="AJ1058" s="570"/>
      <c r="AK1058" s="570"/>
      <c r="AL1058" s="570"/>
      <c r="AM1058" s="570"/>
      <c r="AN1058" s="570"/>
      <c r="AO1058" s="570"/>
      <c r="AP1058" s="570"/>
      <c r="AQ1058" s="570"/>
      <c r="AR1058" s="570"/>
      <c r="AS1058" s="570"/>
      <c r="AT1058" s="570"/>
      <c r="AU1058" s="570"/>
    </row>
    <row r="1059" spans="1:47" ht="15.75" customHeight="1">
      <c r="A1059" s="575">
        <v>44848</v>
      </c>
      <c r="B1059" s="603" t="s">
        <v>6809</v>
      </c>
      <c r="C1059" s="405" t="s">
        <v>3793</v>
      </c>
      <c r="D1059" s="561" t="s">
        <v>6343</v>
      </c>
      <c r="E1059" s="584">
        <v>13000</v>
      </c>
      <c r="F1059" s="561" t="s">
        <v>4864</v>
      </c>
      <c r="G1059" s="571" t="s">
        <v>19</v>
      </c>
      <c r="H1059" s="571" t="s">
        <v>66</v>
      </c>
      <c r="I1059" s="571" t="s">
        <v>265</v>
      </c>
      <c r="J1059" s="571">
        <v>44698</v>
      </c>
      <c r="K1059" s="571" t="s">
        <v>3817</v>
      </c>
      <c r="L1059" s="570"/>
      <c r="M1059" s="570"/>
      <c r="N1059" s="570"/>
      <c r="O1059" s="570"/>
      <c r="P1059" s="570"/>
      <c r="Q1059" s="570"/>
      <c r="R1059" s="570"/>
      <c r="S1059" s="570"/>
      <c r="T1059" s="570"/>
      <c r="U1059" s="570"/>
      <c r="V1059" s="570"/>
      <c r="W1059" s="570"/>
      <c r="X1059" s="570"/>
      <c r="Y1059" s="570"/>
      <c r="Z1059" s="570"/>
      <c r="AA1059" s="570"/>
      <c r="AB1059" s="570"/>
      <c r="AC1059" s="570"/>
      <c r="AD1059" s="570"/>
      <c r="AE1059" s="570"/>
      <c r="AF1059" s="570"/>
      <c r="AG1059" s="570"/>
      <c r="AH1059" s="570"/>
      <c r="AI1059" s="570"/>
      <c r="AJ1059" s="570"/>
      <c r="AK1059" s="570"/>
      <c r="AL1059" s="570"/>
      <c r="AM1059" s="570"/>
      <c r="AN1059" s="570"/>
      <c r="AO1059" s="570"/>
      <c r="AP1059" s="570"/>
      <c r="AQ1059" s="570"/>
      <c r="AR1059" s="570"/>
      <c r="AS1059" s="570"/>
      <c r="AT1059" s="570"/>
      <c r="AU1059" s="570"/>
    </row>
    <row r="1060" spans="1:47" ht="15.75" customHeight="1">
      <c r="A1060" s="575">
        <v>44848</v>
      </c>
      <c r="B1060" s="603" t="s">
        <v>6654</v>
      </c>
      <c r="C1060" s="405" t="s">
        <v>3793</v>
      </c>
      <c r="D1060" s="561" t="s">
        <v>6343</v>
      </c>
      <c r="E1060" s="584">
        <v>25000</v>
      </c>
      <c r="F1060" s="561" t="s">
        <v>3959</v>
      </c>
      <c r="G1060" s="571" t="s">
        <v>19</v>
      </c>
      <c r="H1060" s="571" t="s">
        <v>20</v>
      </c>
      <c r="I1060" s="571" t="s">
        <v>3960</v>
      </c>
      <c r="J1060" s="571">
        <v>44061</v>
      </c>
      <c r="K1060" s="571" t="s">
        <v>3803</v>
      </c>
      <c r="L1060" s="570"/>
      <c r="M1060" s="570"/>
      <c r="N1060" s="570"/>
      <c r="O1060" s="570"/>
      <c r="P1060" s="570"/>
      <c r="Q1060" s="570"/>
      <c r="R1060" s="570"/>
      <c r="S1060" s="570"/>
      <c r="T1060" s="570"/>
      <c r="U1060" s="570"/>
      <c r="V1060" s="570"/>
      <c r="W1060" s="570"/>
      <c r="X1060" s="570"/>
      <c r="Y1060" s="570"/>
      <c r="Z1060" s="570"/>
      <c r="AA1060" s="570"/>
      <c r="AB1060" s="570"/>
      <c r="AC1060" s="570"/>
      <c r="AD1060" s="570"/>
      <c r="AE1060" s="570"/>
      <c r="AF1060" s="570"/>
      <c r="AG1060" s="570"/>
      <c r="AH1060" s="570"/>
      <c r="AI1060" s="570"/>
      <c r="AJ1060" s="570"/>
      <c r="AK1060" s="570"/>
      <c r="AL1060" s="570"/>
      <c r="AM1060" s="570"/>
      <c r="AN1060" s="570"/>
      <c r="AO1060" s="570"/>
      <c r="AP1060" s="570"/>
      <c r="AQ1060" s="570"/>
      <c r="AR1060" s="570"/>
      <c r="AS1060" s="570"/>
      <c r="AT1060" s="570"/>
      <c r="AU1060" s="570"/>
    </row>
    <row r="1061" spans="1:47" ht="15.75" customHeight="1">
      <c r="A1061" s="571">
        <v>44851</v>
      </c>
      <c r="B1061" s="572" t="s">
        <v>6708</v>
      </c>
      <c r="C1061" s="530" t="s">
        <v>3793</v>
      </c>
      <c r="D1061" s="561" t="s">
        <v>6343</v>
      </c>
      <c r="E1061" s="573">
        <v>50000</v>
      </c>
      <c r="F1061" s="530" t="s">
        <v>2055</v>
      </c>
      <c r="G1061" s="561" t="s">
        <v>19</v>
      </c>
      <c r="H1061" s="561" t="s">
        <v>66</v>
      </c>
      <c r="I1061" s="561" t="s">
        <v>144</v>
      </c>
      <c r="J1061" s="571">
        <v>44614</v>
      </c>
      <c r="K1061" s="554" t="s">
        <v>3803</v>
      </c>
      <c r="L1061" s="570"/>
      <c r="M1061" s="570"/>
      <c r="N1061" s="570"/>
      <c r="O1061" s="570"/>
      <c r="P1061" s="570"/>
      <c r="Q1061" s="570"/>
      <c r="R1061" s="570"/>
      <c r="S1061" s="570"/>
      <c r="T1061" s="570"/>
      <c r="U1061" s="570"/>
      <c r="V1061" s="570"/>
      <c r="W1061" s="570"/>
      <c r="X1061" s="570"/>
      <c r="Y1061" s="570"/>
      <c r="Z1061" s="570"/>
      <c r="AA1061" s="570"/>
      <c r="AB1061" s="570"/>
      <c r="AC1061" s="570"/>
      <c r="AD1061" s="570"/>
      <c r="AE1061" s="570"/>
      <c r="AF1061" s="570"/>
      <c r="AG1061" s="570"/>
      <c r="AH1061" s="570"/>
      <c r="AI1061" s="570"/>
      <c r="AJ1061" s="570"/>
      <c r="AK1061" s="570"/>
      <c r="AL1061" s="570"/>
      <c r="AM1061" s="570"/>
      <c r="AN1061" s="570"/>
      <c r="AO1061" s="570"/>
      <c r="AP1061" s="570"/>
      <c r="AQ1061" s="570"/>
      <c r="AR1061" s="570"/>
      <c r="AS1061" s="570"/>
      <c r="AT1061" s="570"/>
      <c r="AU1061" s="570"/>
    </row>
    <row r="1062" spans="1:47" ht="15.75" customHeight="1">
      <c r="A1062" s="595">
        <v>44852</v>
      </c>
      <c r="B1062" s="583" t="s">
        <v>6674</v>
      </c>
      <c r="C1062" s="530" t="s">
        <v>3793</v>
      </c>
      <c r="D1062" s="596" t="s">
        <v>6343</v>
      </c>
      <c r="E1062" s="597">
        <v>18000</v>
      </c>
      <c r="F1062" s="596" t="s">
        <v>3847</v>
      </c>
      <c r="G1062" s="596" t="s">
        <v>19</v>
      </c>
      <c r="H1062" s="596" t="s">
        <v>66</v>
      </c>
      <c r="I1062" s="596" t="s">
        <v>144</v>
      </c>
      <c r="J1062" s="595">
        <v>44609</v>
      </c>
      <c r="K1062" s="530" t="s">
        <v>3813</v>
      </c>
      <c r="L1062" s="570"/>
      <c r="M1062" s="570"/>
      <c r="N1062" s="570"/>
      <c r="O1062" s="570"/>
      <c r="P1062" s="570"/>
      <c r="Q1062" s="570"/>
      <c r="R1062" s="570"/>
      <c r="S1062" s="570"/>
      <c r="T1062" s="570"/>
      <c r="U1062" s="570"/>
      <c r="V1062" s="570"/>
      <c r="W1062" s="570"/>
      <c r="X1062" s="570"/>
      <c r="Y1062" s="570"/>
      <c r="Z1062" s="570"/>
      <c r="AA1062" s="570"/>
      <c r="AB1062" s="570"/>
      <c r="AC1062" s="570"/>
      <c r="AD1062" s="570"/>
      <c r="AE1062" s="570"/>
      <c r="AF1062" s="570"/>
      <c r="AG1062" s="570"/>
      <c r="AH1062" s="570"/>
      <c r="AI1062" s="570"/>
      <c r="AJ1062" s="570"/>
      <c r="AK1062" s="570"/>
      <c r="AL1062" s="570"/>
      <c r="AM1062" s="570"/>
      <c r="AN1062" s="570"/>
      <c r="AO1062" s="570"/>
      <c r="AP1062" s="570"/>
      <c r="AQ1062" s="570"/>
      <c r="AR1062" s="570"/>
      <c r="AS1062" s="570"/>
      <c r="AT1062" s="570"/>
      <c r="AU1062" s="570"/>
    </row>
    <row r="1063" spans="1:47" ht="15.75" customHeight="1">
      <c r="A1063" s="595">
        <v>44853</v>
      </c>
      <c r="B1063" s="583" t="s">
        <v>6830</v>
      </c>
      <c r="C1063" s="530" t="s">
        <v>3793</v>
      </c>
      <c r="D1063" s="596" t="s">
        <v>6343</v>
      </c>
      <c r="E1063" s="597">
        <v>50000</v>
      </c>
      <c r="F1063" s="596" t="s">
        <v>6831</v>
      </c>
      <c r="G1063" s="596" t="s">
        <v>19</v>
      </c>
      <c r="H1063" s="596" t="s">
        <v>20</v>
      </c>
      <c r="I1063" s="596" t="s">
        <v>791</v>
      </c>
      <c r="J1063" s="595">
        <v>44831</v>
      </c>
      <c r="K1063" s="571" t="s">
        <v>3797</v>
      </c>
      <c r="L1063" s="570"/>
      <c r="M1063" s="570"/>
      <c r="N1063" s="570"/>
      <c r="O1063" s="570"/>
      <c r="P1063" s="570"/>
      <c r="Q1063" s="570"/>
      <c r="R1063" s="570"/>
      <c r="S1063" s="570"/>
      <c r="T1063" s="570"/>
      <c r="U1063" s="570"/>
      <c r="V1063" s="570"/>
      <c r="W1063" s="570"/>
      <c r="X1063" s="570"/>
      <c r="Y1063" s="570"/>
      <c r="Z1063" s="570"/>
      <c r="AA1063" s="570"/>
      <c r="AB1063" s="570"/>
      <c r="AC1063" s="570"/>
      <c r="AD1063" s="570"/>
      <c r="AE1063" s="570"/>
      <c r="AF1063" s="570"/>
      <c r="AG1063" s="570"/>
      <c r="AH1063" s="570"/>
      <c r="AI1063" s="570"/>
      <c r="AJ1063" s="570"/>
      <c r="AK1063" s="570"/>
      <c r="AL1063" s="570"/>
      <c r="AM1063" s="570"/>
      <c r="AN1063" s="570"/>
      <c r="AO1063" s="570"/>
      <c r="AP1063" s="570"/>
      <c r="AQ1063" s="570"/>
      <c r="AR1063" s="570"/>
      <c r="AS1063" s="570"/>
      <c r="AT1063" s="570"/>
      <c r="AU1063" s="570"/>
    </row>
    <row r="1064" spans="1:47" ht="15.75" customHeight="1">
      <c r="A1064" s="571">
        <v>44855</v>
      </c>
      <c r="B1064" s="572" t="s">
        <v>6832</v>
      </c>
      <c r="C1064" s="561" t="s">
        <v>3793</v>
      </c>
      <c r="D1064" s="561" t="s">
        <v>6343</v>
      </c>
      <c r="E1064" s="597">
        <v>10000</v>
      </c>
      <c r="F1064" s="596" t="s">
        <v>1551</v>
      </c>
      <c r="G1064" s="561" t="s">
        <v>19</v>
      </c>
      <c r="H1064" s="561" t="s">
        <v>66</v>
      </c>
      <c r="I1064" s="561" t="s">
        <v>6803</v>
      </c>
      <c r="J1064" s="571">
        <v>44733</v>
      </c>
      <c r="K1064" s="561" t="s">
        <v>3813</v>
      </c>
      <c r="L1064" s="570"/>
      <c r="M1064" s="570"/>
      <c r="N1064" s="570"/>
      <c r="O1064" s="570"/>
      <c r="P1064" s="570"/>
      <c r="Q1064" s="570"/>
      <c r="R1064" s="570"/>
      <c r="S1064" s="570"/>
      <c r="T1064" s="570"/>
      <c r="U1064" s="570"/>
      <c r="V1064" s="570"/>
      <c r="W1064" s="570"/>
      <c r="X1064" s="570"/>
      <c r="Y1064" s="570"/>
      <c r="Z1064" s="570"/>
      <c r="AA1064" s="570"/>
      <c r="AB1064" s="570"/>
      <c r="AC1064" s="570"/>
      <c r="AD1064" s="570"/>
      <c r="AE1064" s="570"/>
      <c r="AF1064" s="570"/>
      <c r="AG1064" s="570"/>
      <c r="AH1064" s="570"/>
      <c r="AI1064" s="570"/>
      <c r="AJ1064" s="570"/>
      <c r="AK1064" s="570"/>
      <c r="AL1064" s="570"/>
      <c r="AM1064" s="570"/>
      <c r="AN1064" s="570"/>
      <c r="AO1064" s="570"/>
      <c r="AP1064" s="570"/>
      <c r="AQ1064" s="570"/>
      <c r="AR1064" s="570"/>
      <c r="AS1064" s="570"/>
      <c r="AT1064" s="570"/>
      <c r="AU1064" s="570"/>
    </row>
    <row r="1065" spans="1:47" ht="15.75" customHeight="1">
      <c r="A1065" s="595">
        <v>44860</v>
      </c>
      <c r="B1065" s="583" t="s">
        <v>6674</v>
      </c>
      <c r="C1065" s="530" t="s">
        <v>3793</v>
      </c>
      <c r="D1065" s="596" t="s">
        <v>6343</v>
      </c>
      <c r="E1065" s="597">
        <v>20000</v>
      </c>
      <c r="F1065" s="596" t="s">
        <v>3847</v>
      </c>
      <c r="G1065" s="596" t="s">
        <v>19</v>
      </c>
      <c r="H1065" s="596" t="s">
        <v>66</v>
      </c>
      <c r="I1065" s="596" t="s">
        <v>144</v>
      </c>
      <c r="J1065" s="595">
        <v>44609</v>
      </c>
      <c r="K1065" s="530" t="s">
        <v>3813</v>
      </c>
      <c r="L1065" s="570"/>
      <c r="M1065" s="570"/>
      <c r="N1065" s="570"/>
      <c r="O1065" s="570"/>
      <c r="P1065" s="570"/>
      <c r="Q1065" s="570"/>
      <c r="R1065" s="570"/>
      <c r="S1065" s="570"/>
      <c r="T1065" s="570"/>
      <c r="U1065" s="570"/>
      <c r="V1065" s="570"/>
      <c r="W1065" s="570"/>
      <c r="X1065" s="570"/>
      <c r="Y1065" s="570"/>
      <c r="Z1065" s="570"/>
      <c r="AA1065" s="570"/>
      <c r="AB1065" s="570"/>
      <c r="AC1065" s="570"/>
      <c r="AD1065" s="570"/>
      <c r="AE1065" s="570"/>
      <c r="AF1065" s="570"/>
      <c r="AG1065" s="570"/>
      <c r="AH1065" s="570"/>
      <c r="AI1065" s="570"/>
      <c r="AJ1065" s="570"/>
      <c r="AK1065" s="570"/>
      <c r="AL1065" s="570"/>
      <c r="AM1065" s="570"/>
      <c r="AN1065" s="570"/>
      <c r="AO1065" s="570"/>
      <c r="AP1065" s="570"/>
      <c r="AQ1065" s="570"/>
      <c r="AR1065" s="570"/>
      <c r="AS1065" s="570"/>
      <c r="AT1065" s="570"/>
      <c r="AU1065" s="570"/>
    </row>
    <row r="1066" spans="1:47" ht="15.75" customHeight="1">
      <c r="A1066" s="571">
        <v>44861</v>
      </c>
      <c r="B1066" s="530">
        <v>5681841</v>
      </c>
      <c r="C1066" s="530" t="s">
        <v>3793</v>
      </c>
      <c r="D1066" s="561" t="s">
        <v>6343</v>
      </c>
      <c r="E1066" s="573">
        <v>50000</v>
      </c>
      <c r="F1066" s="553" t="s">
        <v>5259</v>
      </c>
      <c r="G1066" s="553" t="s">
        <v>19</v>
      </c>
      <c r="H1066" s="561" t="s">
        <v>66</v>
      </c>
      <c r="I1066" s="561" t="s">
        <v>67</v>
      </c>
      <c r="J1066" s="571">
        <v>44469</v>
      </c>
      <c r="K1066" s="554" t="s">
        <v>3813</v>
      </c>
      <c r="L1066" s="570"/>
      <c r="M1066" s="570"/>
      <c r="N1066" s="570"/>
      <c r="O1066" s="570"/>
      <c r="P1066" s="570"/>
      <c r="Q1066" s="570"/>
      <c r="R1066" s="570"/>
      <c r="S1066" s="570"/>
      <c r="T1066" s="570"/>
      <c r="U1066" s="570"/>
      <c r="V1066" s="570"/>
      <c r="W1066" s="570"/>
      <c r="X1066" s="570"/>
      <c r="Y1066" s="570"/>
      <c r="Z1066" s="570"/>
      <c r="AA1066" s="570"/>
      <c r="AB1066" s="570"/>
      <c r="AC1066" s="570"/>
      <c r="AD1066" s="570"/>
      <c r="AE1066" s="570"/>
      <c r="AF1066" s="570"/>
      <c r="AG1066" s="570"/>
      <c r="AH1066" s="570"/>
      <c r="AI1066" s="570"/>
      <c r="AJ1066" s="570"/>
      <c r="AK1066" s="570"/>
      <c r="AL1066" s="570"/>
      <c r="AM1066" s="570"/>
      <c r="AN1066" s="570"/>
      <c r="AO1066" s="570"/>
      <c r="AP1066" s="570"/>
      <c r="AQ1066" s="570"/>
      <c r="AR1066" s="570"/>
      <c r="AS1066" s="570"/>
      <c r="AT1066" s="570"/>
      <c r="AU1066" s="570"/>
    </row>
    <row r="1067" spans="1:47" ht="15.75" customHeight="1">
      <c r="A1067" s="571">
        <v>44865</v>
      </c>
      <c r="B1067" s="572" t="s">
        <v>6833</v>
      </c>
      <c r="C1067" s="561" t="s">
        <v>3793</v>
      </c>
      <c r="D1067" s="561" t="s">
        <v>6343</v>
      </c>
      <c r="E1067" s="573">
        <v>10000</v>
      </c>
      <c r="F1067" s="561" t="s">
        <v>4322</v>
      </c>
      <c r="G1067" s="561" t="s">
        <v>19</v>
      </c>
      <c r="H1067" s="561" t="s">
        <v>2054</v>
      </c>
      <c r="I1067" s="561" t="s">
        <v>4323</v>
      </c>
      <c r="J1067" s="571">
        <v>44260</v>
      </c>
      <c r="K1067" s="561" t="s">
        <v>3817</v>
      </c>
      <c r="L1067" s="570"/>
      <c r="M1067" s="570"/>
      <c r="N1067" s="570"/>
      <c r="O1067" s="570"/>
      <c r="P1067" s="570"/>
      <c r="Q1067" s="570"/>
      <c r="R1067" s="570"/>
      <c r="S1067" s="570"/>
      <c r="T1067" s="570"/>
      <c r="U1067" s="570"/>
      <c r="V1067" s="570"/>
      <c r="W1067" s="570"/>
      <c r="X1067" s="570"/>
      <c r="Y1067" s="570"/>
      <c r="Z1067" s="570"/>
      <c r="AA1067" s="570"/>
      <c r="AB1067" s="570"/>
      <c r="AC1067" s="570"/>
      <c r="AD1067" s="570"/>
      <c r="AE1067" s="570"/>
      <c r="AF1067" s="570"/>
      <c r="AG1067" s="570"/>
      <c r="AH1067" s="570"/>
      <c r="AI1067" s="570"/>
      <c r="AJ1067" s="570"/>
      <c r="AK1067" s="570"/>
      <c r="AL1067" s="570"/>
      <c r="AM1067" s="570"/>
      <c r="AN1067" s="570"/>
      <c r="AO1067" s="570"/>
      <c r="AP1067" s="570"/>
      <c r="AQ1067" s="570"/>
      <c r="AR1067" s="570"/>
      <c r="AS1067" s="570"/>
      <c r="AT1067" s="570"/>
      <c r="AU1067" s="570"/>
    </row>
    <row r="1068" spans="1:47" ht="15.75" customHeight="1">
      <c r="A1068" s="571">
        <v>44865</v>
      </c>
      <c r="B1068" s="572" t="s">
        <v>6834</v>
      </c>
      <c r="C1068" s="561" t="s">
        <v>3793</v>
      </c>
      <c r="D1068" s="561" t="s">
        <v>6343</v>
      </c>
      <c r="E1068" s="573">
        <v>4000</v>
      </c>
      <c r="F1068" s="561" t="s">
        <v>4893</v>
      </c>
      <c r="G1068" s="561" t="s">
        <v>19</v>
      </c>
      <c r="H1068" s="561" t="s">
        <v>20</v>
      </c>
      <c r="I1068" s="561" t="s">
        <v>67</v>
      </c>
      <c r="J1068" s="571">
        <v>44749</v>
      </c>
      <c r="K1068" s="561" t="s">
        <v>3810</v>
      </c>
      <c r="L1068" s="570"/>
      <c r="M1068" s="570"/>
      <c r="N1068" s="570"/>
      <c r="O1068" s="570"/>
      <c r="P1068" s="570"/>
      <c r="Q1068" s="570"/>
      <c r="R1068" s="570"/>
      <c r="S1068" s="570"/>
      <c r="T1068" s="570"/>
      <c r="U1068" s="570"/>
      <c r="V1068" s="570"/>
      <c r="W1068" s="570"/>
      <c r="X1068" s="570"/>
      <c r="Y1068" s="570"/>
      <c r="Z1068" s="570"/>
      <c r="AA1068" s="570"/>
      <c r="AB1068" s="570"/>
      <c r="AC1068" s="570"/>
      <c r="AD1068" s="570"/>
      <c r="AE1068" s="570"/>
      <c r="AF1068" s="570"/>
      <c r="AG1068" s="570"/>
      <c r="AH1068" s="570"/>
      <c r="AI1068" s="570"/>
      <c r="AJ1068" s="570"/>
      <c r="AK1068" s="570"/>
      <c r="AL1068" s="570"/>
      <c r="AM1068" s="570"/>
      <c r="AN1068" s="570"/>
      <c r="AO1068" s="570"/>
      <c r="AP1068" s="570"/>
      <c r="AQ1068" s="570"/>
      <c r="AR1068" s="570"/>
      <c r="AS1068" s="570"/>
      <c r="AT1068" s="570"/>
      <c r="AU1068" s="570"/>
    </row>
    <row r="1069" spans="1:47" ht="15.75" customHeight="1">
      <c r="A1069" s="595">
        <v>44865</v>
      </c>
      <c r="B1069" s="583" t="s">
        <v>6762</v>
      </c>
      <c r="C1069" s="530" t="s">
        <v>3793</v>
      </c>
      <c r="D1069" s="596" t="s">
        <v>6343</v>
      </c>
      <c r="E1069" s="597">
        <v>30000</v>
      </c>
      <c r="F1069" s="596" t="s">
        <v>1577</v>
      </c>
      <c r="G1069" s="596" t="s">
        <v>19</v>
      </c>
      <c r="H1069" s="596" t="s">
        <v>66</v>
      </c>
      <c r="I1069" s="596" t="s">
        <v>67</v>
      </c>
      <c r="J1069" s="595">
        <v>44568</v>
      </c>
      <c r="K1069" s="530" t="s">
        <v>4473</v>
      </c>
      <c r="L1069" s="570"/>
      <c r="M1069" s="570"/>
      <c r="N1069" s="570"/>
      <c r="O1069" s="570"/>
      <c r="P1069" s="570"/>
      <c r="Q1069" s="570"/>
      <c r="R1069" s="570"/>
      <c r="S1069" s="570"/>
      <c r="T1069" s="570"/>
      <c r="U1069" s="570"/>
      <c r="V1069" s="570"/>
      <c r="W1069" s="570"/>
      <c r="X1069" s="570"/>
      <c r="Y1069" s="570"/>
      <c r="Z1069" s="570"/>
      <c r="AA1069" s="570"/>
      <c r="AB1069" s="570"/>
      <c r="AC1069" s="570"/>
      <c r="AD1069" s="570"/>
      <c r="AE1069" s="570"/>
      <c r="AF1069" s="570"/>
      <c r="AG1069" s="570"/>
      <c r="AH1069" s="570"/>
      <c r="AI1069" s="570"/>
      <c r="AJ1069" s="570"/>
      <c r="AK1069" s="570"/>
      <c r="AL1069" s="570"/>
      <c r="AM1069" s="570"/>
      <c r="AN1069" s="570"/>
      <c r="AO1069" s="570"/>
      <c r="AP1069" s="570"/>
      <c r="AQ1069" s="570"/>
      <c r="AR1069" s="570"/>
      <c r="AS1069" s="570"/>
      <c r="AT1069" s="570"/>
      <c r="AU1069" s="570"/>
    </row>
    <row r="1070" spans="1:47" ht="15.75" customHeight="1">
      <c r="A1070" s="571">
        <v>44866</v>
      </c>
      <c r="B1070" s="596">
        <v>6986262</v>
      </c>
      <c r="C1070" s="561" t="s">
        <v>3793</v>
      </c>
      <c r="D1070" s="561" t="s">
        <v>6343</v>
      </c>
      <c r="E1070" s="573">
        <v>500</v>
      </c>
      <c r="F1070" s="561" t="s">
        <v>4305</v>
      </c>
      <c r="G1070" s="553" t="s">
        <v>19</v>
      </c>
      <c r="H1070" s="561" t="s">
        <v>66</v>
      </c>
      <c r="I1070" s="561" t="s">
        <v>4142</v>
      </c>
      <c r="J1070" s="571">
        <v>44503</v>
      </c>
      <c r="K1070" s="530" t="s">
        <v>3850</v>
      </c>
      <c r="L1070" s="570"/>
      <c r="M1070" s="570"/>
      <c r="N1070" s="570"/>
      <c r="O1070" s="570"/>
      <c r="P1070" s="570"/>
      <c r="Q1070" s="570"/>
      <c r="R1070" s="570"/>
      <c r="S1070" s="570"/>
      <c r="T1070" s="570"/>
      <c r="U1070" s="570"/>
      <c r="V1070" s="570"/>
      <c r="W1070" s="570"/>
      <c r="X1070" s="570"/>
      <c r="Y1070" s="570"/>
      <c r="Z1070" s="570"/>
      <c r="AA1070" s="570"/>
      <c r="AB1070" s="570"/>
      <c r="AC1070" s="570"/>
      <c r="AD1070" s="570"/>
      <c r="AE1070" s="570"/>
      <c r="AF1070" s="570"/>
      <c r="AG1070" s="570"/>
      <c r="AH1070" s="570"/>
      <c r="AI1070" s="570"/>
      <c r="AJ1070" s="570"/>
      <c r="AK1070" s="570"/>
      <c r="AL1070" s="570"/>
      <c r="AM1070" s="570"/>
      <c r="AN1070" s="570"/>
      <c r="AO1070" s="570"/>
      <c r="AP1070" s="570"/>
      <c r="AQ1070" s="570"/>
      <c r="AR1070" s="570"/>
      <c r="AS1070" s="570"/>
      <c r="AT1070" s="570"/>
      <c r="AU1070" s="570"/>
    </row>
    <row r="1071" spans="1:47" ht="15.75" customHeight="1">
      <c r="A1071" s="571">
        <v>44866</v>
      </c>
      <c r="B1071" s="572" t="s">
        <v>6835</v>
      </c>
      <c r="C1071" s="561" t="s">
        <v>3793</v>
      </c>
      <c r="D1071" s="561" t="s">
        <v>6343</v>
      </c>
      <c r="E1071" s="573">
        <v>15000</v>
      </c>
      <c r="F1071" s="561" t="s">
        <v>3869</v>
      </c>
      <c r="G1071" s="561" t="s">
        <v>46</v>
      </c>
      <c r="H1071" s="561" t="s">
        <v>20</v>
      </c>
      <c r="I1071" s="561" t="s">
        <v>5313</v>
      </c>
      <c r="J1071" s="571">
        <v>44085</v>
      </c>
      <c r="K1071" s="561" t="s">
        <v>3803</v>
      </c>
      <c r="L1071" s="570"/>
      <c r="M1071" s="570"/>
      <c r="N1071" s="570"/>
      <c r="O1071" s="570"/>
      <c r="P1071" s="570"/>
      <c r="Q1071" s="570"/>
      <c r="R1071" s="570"/>
      <c r="S1071" s="570"/>
      <c r="T1071" s="570"/>
      <c r="U1071" s="570"/>
      <c r="V1071" s="570"/>
      <c r="W1071" s="570"/>
      <c r="X1071" s="570"/>
      <c r="Y1071" s="570"/>
      <c r="Z1071" s="570"/>
      <c r="AA1071" s="570"/>
      <c r="AB1071" s="570"/>
      <c r="AC1071" s="570"/>
      <c r="AD1071" s="570"/>
      <c r="AE1071" s="570"/>
      <c r="AF1071" s="570"/>
      <c r="AG1071" s="570"/>
      <c r="AH1071" s="570"/>
      <c r="AI1071" s="570"/>
      <c r="AJ1071" s="570"/>
      <c r="AK1071" s="570"/>
      <c r="AL1071" s="570"/>
      <c r="AM1071" s="570"/>
      <c r="AN1071" s="570"/>
      <c r="AO1071" s="570"/>
      <c r="AP1071" s="570"/>
      <c r="AQ1071" s="570"/>
      <c r="AR1071" s="570"/>
      <c r="AS1071" s="570"/>
      <c r="AT1071" s="570"/>
      <c r="AU1071" s="570"/>
    </row>
    <row r="1072" spans="1:47" ht="15.75" customHeight="1">
      <c r="A1072" s="571">
        <v>44868</v>
      </c>
      <c r="B1072" s="572" t="s">
        <v>6825</v>
      </c>
      <c r="C1072" s="561" t="s">
        <v>3793</v>
      </c>
      <c r="D1072" s="561" t="s">
        <v>6343</v>
      </c>
      <c r="E1072" s="573">
        <v>4500</v>
      </c>
      <c r="F1072" s="561" t="s">
        <v>631</v>
      </c>
      <c r="G1072" s="561" t="s">
        <v>19</v>
      </c>
      <c r="H1072" s="561" t="s">
        <v>20</v>
      </c>
      <c r="I1072" s="561" t="s">
        <v>184</v>
      </c>
      <c r="J1072" s="571">
        <v>44819</v>
      </c>
      <c r="K1072" s="561" t="s">
        <v>3813</v>
      </c>
      <c r="L1072" s="570"/>
      <c r="M1072" s="570"/>
      <c r="N1072" s="570"/>
      <c r="O1072" s="570"/>
      <c r="P1072" s="570"/>
      <c r="Q1072" s="570"/>
      <c r="R1072" s="570"/>
      <c r="S1072" s="570"/>
      <c r="T1072" s="570"/>
      <c r="U1072" s="570"/>
      <c r="V1072" s="570"/>
      <c r="W1072" s="570"/>
      <c r="X1072" s="570"/>
      <c r="Y1072" s="570"/>
      <c r="Z1072" s="570"/>
      <c r="AA1072" s="570"/>
      <c r="AB1072" s="570"/>
      <c r="AC1072" s="570"/>
      <c r="AD1072" s="570"/>
      <c r="AE1072" s="570"/>
      <c r="AF1072" s="570"/>
      <c r="AG1072" s="570"/>
      <c r="AH1072" s="570"/>
      <c r="AI1072" s="570"/>
      <c r="AJ1072" s="570"/>
      <c r="AK1072" s="570"/>
      <c r="AL1072" s="570"/>
      <c r="AM1072" s="570"/>
      <c r="AN1072" s="570"/>
      <c r="AO1072" s="570"/>
      <c r="AP1072" s="570"/>
      <c r="AQ1072" s="570"/>
      <c r="AR1072" s="570"/>
      <c r="AS1072" s="570"/>
      <c r="AT1072" s="570"/>
      <c r="AU1072" s="570"/>
    </row>
    <row r="1073" spans="1:47" ht="15.75" customHeight="1">
      <c r="A1073" s="571">
        <v>44872</v>
      </c>
      <c r="B1073" s="572" t="s">
        <v>6834</v>
      </c>
      <c r="C1073" s="561" t="s">
        <v>3793</v>
      </c>
      <c r="D1073" s="561" t="s">
        <v>6343</v>
      </c>
      <c r="E1073" s="573">
        <v>6500</v>
      </c>
      <c r="F1073" s="561" t="s">
        <v>4893</v>
      </c>
      <c r="G1073" s="561" t="s">
        <v>19</v>
      </c>
      <c r="H1073" s="561" t="s">
        <v>20</v>
      </c>
      <c r="I1073" s="561" t="s">
        <v>67</v>
      </c>
      <c r="J1073" s="571">
        <v>44749</v>
      </c>
      <c r="K1073" s="561" t="s">
        <v>3810</v>
      </c>
      <c r="L1073" s="570"/>
      <c r="M1073" s="570"/>
      <c r="N1073" s="570"/>
      <c r="O1073" s="570"/>
      <c r="P1073" s="570"/>
      <c r="Q1073" s="570"/>
      <c r="R1073" s="570"/>
      <c r="S1073" s="570"/>
      <c r="T1073" s="570"/>
      <c r="U1073" s="570"/>
      <c r="V1073" s="570"/>
      <c r="W1073" s="570"/>
      <c r="X1073" s="570"/>
      <c r="Y1073" s="570"/>
      <c r="Z1073" s="570"/>
      <c r="AA1073" s="570"/>
      <c r="AB1073" s="570"/>
      <c r="AC1073" s="570"/>
      <c r="AD1073" s="570"/>
      <c r="AE1073" s="570"/>
      <c r="AF1073" s="570"/>
      <c r="AG1073" s="570"/>
      <c r="AH1073" s="570"/>
      <c r="AI1073" s="570"/>
      <c r="AJ1073" s="570"/>
      <c r="AK1073" s="570"/>
      <c r="AL1073" s="570"/>
      <c r="AM1073" s="570"/>
      <c r="AN1073" s="570"/>
      <c r="AO1073" s="570"/>
      <c r="AP1073" s="570"/>
      <c r="AQ1073" s="570"/>
      <c r="AR1073" s="570"/>
      <c r="AS1073" s="570"/>
      <c r="AT1073" s="570"/>
      <c r="AU1073" s="570"/>
    </row>
    <row r="1074" spans="1:47" ht="15.75" customHeight="1">
      <c r="A1074" s="571">
        <v>44873</v>
      </c>
      <c r="B1074" s="572" t="s">
        <v>6836</v>
      </c>
      <c r="C1074" s="561" t="s">
        <v>3793</v>
      </c>
      <c r="D1074" s="561" t="s">
        <v>6343</v>
      </c>
      <c r="E1074" s="573">
        <v>100000</v>
      </c>
      <c r="F1074" s="561" t="s">
        <v>4749</v>
      </c>
      <c r="G1074" s="561" t="s">
        <v>19</v>
      </c>
      <c r="H1074" s="561" t="s">
        <v>66</v>
      </c>
      <c r="I1074" s="561" t="s">
        <v>265</v>
      </c>
      <c r="J1074" s="571">
        <v>44790</v>
      </c>
      <c r="K1074" s="561" t="s">
        <v>3813</v>
      </c>
      <c r="L1074" s="570"/>
      <c r="M1074" s="570"/>
      <c r="N1074" s="570"/>
      <c r="O1074" s="570"/>
      <c r="P1074" s="570"/>
      <c r="Q1074" s="570"/>
      <c r="R1074" s="570"/>
      <c r="S1074" s="570"/>
      <c r="T1074" s="570"/>
      <c r="U1074" s="570"/>
      <c r="V1074" s="570"/>
      <c r="W1074" s="570"/>
      <c r="X1074" s="570"/>
      <c r="Y1074" s="570"/>
      <c r="Z1074" s="570"/>
      <c r="AA1074" s="570"/>
      <c r="AB1074" s="570"/>
      <c r="AC1074" s="570"/>
      <c r="AD1074" s="570"/>
      <c r="AE1074" s="570"/>
      <c r="AF1074" s="570"/>
      <c r="AG1074" s="570"/>
      <c r="AH1074" s="570"/>
      <c r="AI1074" s="570"/>
      <c r="AJ1074" s="570"/>
      <c r="AK1074" s="570"/>
      <c r="AL1074" s="570"/>
      <c r="AM1074" s="570"/>
      <c r="AN1074" s="570"/>
      <c r="AO1074" s="570"/>
      <c r="AP1074" s="570"/>
      <c r="AQ1074" s="570"/>
      <c r="AR1074" s="570"/>
      <c r="AS1074" s="570"/>
      <c r="AT1074" s="570"/>
      <c r="AU1074" s="570"/>
    </row>
    <row r="1075" spans="1:47" ht="15.75" customHeight="1">
      <c r="A1075" s="571">
        <v>44873</v>
      </c>
      <c r="B1075" s="596" t="s">
        <v>6665</v>
      </c>
      <c r="C1075" s="561" t="s">
        <v>3793</v>
      </c>
      <c r="D1075" s="561" t="s">
        <v>6343</v>
      </c>
      <c r="E1075" s="573">
        <v>30000</v>
      </c>
      <c r="F1075" s="561" t="s">
        <v>1741</v>
      </c>
      <c r="G1075" s="553" t="s">
        <v>19</v>
      </c>
      <c r="H1075" s="553" t="s">
        <v>20</v>
      </c>
      <c r="I1075" s="553" t="s">
        <v>6666</v>
      </c>
      <c r="J1075" s="594">
        <v>44594</v>
      </c>
      <c r="K1075" s="561" t="s">
        <v>3810</v>
      </c>
      <c r="L1075" s="570"/>
      <c r="M1075" s="570"/>
      <c r="N1075" s="570"/>
      <c r="O1075" s="570"/>
      <c r="P1075" s="570"/>
      <c r="Q1075" s="570"/>
      <c r="R1075" s="570"/>
      <c r="S1075" s="570"/>
      <c r="T1075" s="570"/>
      <c r="U1075" s="570"/>
      <c r="V1075" s="570"/>
      <c r="W1075" s="570"/>
      <c r="X1075" s="570"/>
      <c r="Y1075" s="570"/>
      <c r="Z1075" s="570"/>
      <c r="AA1075" s="570"/>
      <c r="AB1075" s="570"/>
      <c r="AC1075" s="570"/>
      <c r="AD1075" s="570"/>
      <c r="AE1075" s="570"/>
      <c r="AF1075" s="570"/>
      <c r="AG1075" s="570"/>
      <c r="AH1075" s="570"/>
      <c r="AI1075" s="570"/>
      <c r="AJ1075" s="570"/>
      <c r="AK1075" s="570"/>
      <c r="AL1075" s="570"/>
      <c r="AM1075" s="570"/>
      <c r="AN1075" s="570"/>
      <c r="AO1075" s="570"/>
      <c r="AP1075" s="570"/>
      <c r="AQ1075" s="570"/>
      <c r="AR1075" s="570"/>
      <c r="AS1075" s="570"/>
      <c r="AT1075" s="570"/>
      <c r="AU1075" s="570"/>
    </row>
    <row r="1076" spans="1:47" ht="15.75" customHeight="1">
      <c r="A1076" s="571">
        <v>44874</v>
      </c>
      <c r="B1076" s="572" t="s">
        <v>6832</v>
      </c>
      <c r="C1076" s="561" t="s">
        <v>3793</v>
      </c>
      <c r="D1076" s="561" t="s">
        <v>6343</v>
      </c>
      <c r="E1076" s="573">
        <v>1000</v>
      </c>
      <c r="F1076" s="561" t="s">
        <v>6837</v>
      </c>
      <c r="G1076" s="561" t="s">
        <v>19</v>
      </c>
      <c r="H1076" s="561" t="s">
        <v>66</v>
      </c>
      <c r="I1076" s="561" t="s">
        <v>6803</v>
      </c>
      <c r="J1076" s="571">
        <v>44733</v>
      </c>
      <c r="K1076" s="561" t="s">
        <v>3813</v>
      </c>
      <c r="L1076" s="570"/>
      <c r="M1076" s="570"/>
      <c r="N1076" s="570"/>
      <c r="O1076" s="570"/>
      <c r="P1076" s="570"/>
      <c r="Q1076" s="570"/>
      <c r="R1076" s="570"/>
      <c r="S1076" s="570"/>
      <c r="T1076" s="570"/>
      <c r="U1076" s="570"/>
      <c r="V1076" s="570"/>
      <c r="W1076" s="570"/>
      <c r="X1076" s="570"/>
      <c r="Y1076" s="570"/>
      <c r="Z1076" s="570"/>
      <c r="AA1076" s="570"/>
      <c r="AB1076" s="570"/>
      <c r="AC1076" s="570"/>
      <c r="AD1076" s="570"/>
      <c r="AE1076" s="570"/>
      <c r="AF1076" s="570"/>
      <c r="AG1076" s="570"/>
      <c r="AH1076" s="570"/>
      <c r="AI1076" s="570"/>
      <c r="AJ1076" s="570"/>
      <c r="AK1076" s="570"/>
      <c r="AL1076" s="570"/>
      <c r="AM1076" s="570"/>
      <c r="AN1076" s="570"/>
      <c r="AO1076" s="570"/>
      <c r="AP1076" s="570"/>
      <c r="AQ1076" s="570"/>
      <c r="AR1076" s="570"/>
      <c r="AS1076" s="570"/>
      <c r="AT1076" s="570"/>
      <c r="AU1076" s="570"/>
    </row>
    <row r="1077" spans="1:47" ht="15.75" customHeight="1">
      <c r="A1077" s="571">
        <v>44874</v>
      </c>
      <c r="B1077" s="572" t="s">
        <v>6838</v>
      </c>
      <c r="C1077" s="561" t="s">
        <v>3793</v>
      </c>
      <c r="D1077" s="561" t="s">
        <v>6343</v>
      </c>
      <c r="E1077" s="573">
        <v>60000</v>
      </c>
      <c r="F1077" s="561" t="s">
        <v>2659</v>
      </c>
      <c r="G1077" s="561" t="s">
        <v>19</v>
      </c>
      <c r="H1077" s="561" t="s">
        <v>20</v>
      </c>
      <c r="I1077" s="561" t="s">
        <v>21</v>
      </c>
      <c r="J1077" s="571">
        <v>44802</v>
      </c>
      <c r="K1077" s="561" t="s">
        <v>3810</v>
      </c>
      <c r="L1077" s="570"/>
      <c r="M1077" s="570"/>
      <c r="N1077" s="570"/>
      <c r="O1077" s="570"/>
      <c r="P1077" s="570"/>
      <c r="Q1077" s="570"/>
      <c r="R1077" s="570"/>
      <c r="S1077" s="570"/>
      <c r="T1077" s="570"/>
      <c r="U1077" s="570"/>
      <c r="V1077" s="570"/>
      <c r="W1077" s="570"/>
      <c r="X1077" s="570"/>
      <c r="Y1077" s="570"/>
      <c r="Z1077" s="570"/>
      <c r="AA1077" s="570"/>
      <c r="AB1077" s="570"/>
      <c r="AC1077" s="570"/>
      <c r="AD1077" s="570"/>
      <c r="AE1077" s="570"/>
      <c r="AF1077" s="570"/>
      <c r="AG1077" s="570"/>
      <c r="AH1077" s="570"/>
      <c r="AI1077" s="570"/>
      <c r="AJ1077" s="570"/>
      <c r="AK1077" s="570"/>
      <c r="AL1077" s="570"/>
      <c r="AM1077" s="570"/>
      <c r="AN1077" s="570"/>
      <c r="AO1077" s="570"/>
      <c r="AP1077" s="570"/>
      <c r="AQ1077" s="570"/>
      <c r="AR1077" s="570"/>
      <c r="AS1077" s="570"/>
      <c r="AT1077" s="570"/>
      <c r="AU1077" s="570"/>
    </row>
    <row r="1078" spans="1:47" ht="15.75" customHeight="1">
      <c r="A1078" s="571">
        <v>44874</v>
      </c>
      <c r="B1078" s="572" t="s">
        <v>6777</v>
      </c>
      <c r="C1078" s="561" t="s">
        <v>3793</v>
      </c>
      <c r="D1078" s="561" t="s">
        <v>6343</v>
      </c>
      <c r="E1078" s="573">
        <v>8000</v>
      </c>
      <c r="F1078" s="561" t="s">
        <v>4731</v>
      </c>
      <c r="G1078" s="561" t="s">
        <v>19</v>
      </c>
      <c r="H1078" s="561" t="s">
        <v>20</v>
      </c>
      <c r="I1078" s="561" t="s">
        <v>3080</v>
      </c>
      <c r="J1078" s="571">
        <v>44393</v>
      </c>
      <c r="K1078" s="561" t="s">
        <v>3797</v>
      </c>
      <c r="L1078" s="570"/>
      <c r="M1078" s="570"/>
      <c r="N1078" s="570"/>
      <c r="O1078" s="570"/>
      <c r="P1078" s="570"/>
      <c r="Q1078" s="570"/>
      <c r="R1078" s="570"/>
      <c r="S1078" s="570"/>
      <c r="T1078" s="570"/>
      <c r="U1078" s="570"/>
      <c r="V1078" s="570"/>
      <c r="W1078" s="570"/>
      <c r="X1078" s="570"/>
      <c r="Y1078" s="570"/>
      <c r="Z1078" s="570"/>
      <c r="AA1078" s="570"/>
      <c r="AB1078" s="570"/>
      <c r="AC1078" s="570"/>
      <c r="AD1078" s="570"/>
      <c r="AE1078" s="570"/>
      <c r="AF1078" s="570"/>
      <c r="AG1078" s="570"/>
      <c r="AH1078" s="570"/>
      <c r="AI1078" s="570"/>
      <c r="AJ1078" s="570"/>
      <c r="AK1078" s="570"/>
      <c r="AL1078" s="570"/>
      <c r="AM1078" s="570"/>
      <c r="AN1078" s="570"/>
      <c r="AO1078" s="570"/>
      <c r="AP1078" s="570"/>
      <c r="AQ1078" s="570"/>
      <c r="AR1078" s="570"/>
      <c r="AS1078" s="570"/>
      <c r="AT1078" s="570"/>
      <c r="AU1078" s="570"/>
    </row>
    <row r="1079" spans="1:47" ht="15.75" customHeight="1">
      <c r="A1079" s="571">
        <v>44875</v>
      </c>
      <c r="B1079" s="572" t="s">
        <v>6839</v>
      </c>
      <c r="C1079" s="561" t="s">
        <v>3793</v>
      </c>
      <c r="D1079" s="561" t="s">
        <v>6343</v>
      </c>
      <c r="E1079" s="573">
        <v>6000</v>
      </c>
      <c r="F1079" s="561" t="s">
        <v>401</v>
      </c>
      <c r="G1079" s="561" t="s">
        <v>19</v>
      </c>
      <c r="H1079" s="561" t="s">
        <v>66</v>
      </c>
      <c r="I1079" s="561" t="s">
        <v>67</v>
      </c>
      <c r="J1079" s="571">
        <v>44767</v>
      </c>
      <c r="K1079" s="561" t="s">
        <v>3810</v>
      </c>
      <c r="L1079" s="570"/>
      <c r="M1079" s="570"/>
      <c r="N1079" s="570"/>
      <c r="O1079" s="570"/>
      <c r="P1079" s="570"/>
      <c r="Q1079" s="570"/>
      <c r="R1079" s="570"/>
      <c r="S1079" s="570"/>
      <c r="T1079" s="570"/>
      <c r="U1079" s="570"/>
      <c r="V1079" s="570"/>
      <c r="W1079" s="570"/>
      <c r="X1079" s="570"/>
      <c r="Y1079" s="570"/>
      <c r="Z1079" s="570"/>
      <c r="AA1079" s="570"/>
      <c r="AB1079" s="570"/>
      <c r="AC1079" s="570"/>
      <c r="AD1079" s="570"/>
      <c r="AE1079" s="570"/>
      <c r="AF1079" s="570"/>
      <c r="AG1079" s="570"/>
      <c r="AH1079" s="570"/>
      <c r="AI1079" s="570"/>
      <c r="AJ1079" s="570"/>
      <c r="AK1079" s="570"/>
      <c r="AL1079" s="570"/>
      <c r="AM1079" s="570"/>
      <c r="AN1079" s="570"/>
      <c r="AO1079" s="570"/>
      <c r="AP1079" s="570"/>
      <c r="AQ1079" s="570"/>
      <c r="AR1079" s="570"/>
      <c r="AS1079" s="570"/>
      <c r="AT1079" s="570"/>
      <c r="AU1079" s="570"/>
    </row>
    <row r="1080" spans="1:47" ht="15.75" customHeight="1">
      <c r="A1080" s="571">
        <v>44879</v>
      </c>
      <c r="B1080" s="603" t="s">
        <v>6809</v>
      </c>
      <c r="C1080" s="405" t="s">
        <v>3793</v>
      </c>
      <c r="D1080" s="561" t="s">
        <v>6343</v>
      </c>
      <c r="E1080" s="584">
        <v>85000</v>
      </c>
      <c r="F1080" s="561" t="s">
        <v>4864</v>
      </c>
      <c r="G1080" s="571" t="s">
        <v>19</v>
      </c>
      <c r="H1080" s="571" t="s">
        <v>66</v>
      </c>
      <c r="I1080" s="571" t="s">
        <v>265</v>
      </c>
      <c r="J1080" s="571">
        <v>44698</v>
      </c>
      <c r="K1080" s="571" t="s">
        <v>3817</v>
      </c>
      <c r="L1080" s="570"/>
      <c r="M1080" s="570"/>
      <c r="N1080" s="570"/>
      <c r="O1080" s="570"/>
      <c r="P1080" s="570"/>
      <c r="Q1080" s="570"/>
      <c r="R1080" s="570"/>
      <c r="S1080" s="570"/>
      <c r="T1080" s="570"/>
      <c r="U1080" s="570"/>
      <c r="V1080" s="570"/>
      <c r="W1080" s="570"/>
      <c r="X1080" s="570"/>
      <c r="Y1080" s="570"/>
      <c r="Z1080" s="570"/>
      <c r="AA1080" s="570"/>
      <c r="AB1080" s="570"/>
      <c r="AC1080" s="570"/>
      <c r="AD1080" s="570"/>
      <c r="AE1080" s="570"/>
      <c r="AF1080" s="570"/>
      <c r="AG1080" s="570"/>
      <c r="AH1080" s="570"/>
      <c r="AI1080" s="570"/>
      <c r="AJ1080" s="570"/>
      <c r="AK1080" s="570"/>
      <c r="AL1080" s="570"/>
      <c r="AM1080" s="570"/>
      <c r="AN1080" s="570"/>
      <c r="AO1080" s="570"/>
      <c r="AP1080" s="570"/>
      <c r="AQ1080" s="570"/>
      <c r="AR1080" s="570"/>
      <c r="AS1080" s="570"/>
      <c r="AT1080" s="570"/>
      <c r="AU1080" s="570"/>
    </row>
    <row r="1081" spans="1:47" ht="15.75" customHeight="1">
      <c r="A1081" s="571">
        <v>44879</v>
      </c>
      <c r="B1081" s="530">
        <v>5681841</v>
      </c>
      <c r="C1081" s="530" t="s">
        <v>3793</v>
      </c>
      <c r="D1081" s="561" t="s">
        <v>6343</v>
      </c>
      <c r="E1081" s="573">
        <v>100000</v>
      </c>
      <c r="F1081" s="553" t="s">
        <v>5259</v>
      </c>
      <c r="G1081" s="553" t="s">
        <v>19</v>
      </c>
      <c r="H1081" s="561" t="s">
        <v>66</v>
      </c>
      <c r="I1081" s="561" t="s">
        <v>67</v>
      </c>
      <c r="J1081" s="571">
        <v>44469</v>
      </c>
      <c r="K1081" s="554" t="s">
        <v>3813</v>
      </c>
      <c r="L1081" s="570"/>
      <c r="M1081" s="570"/>
      <c r="N1081" s="570"/>
      <c r="O1081" s="570"/>
      <c r="P1081" s="570"/>
      <c r="Q1081" s="570"/>
      <c r="R1081" s="570"/>
      <c r="S1081" s="570"/>
      <c r="T1081" s="570"/>
      <c r="U1081" s="570"/>
      <c r="V1081" s="570"/>
      <c r="W1081" s="570"/>
      <c r="X1081" s="570"/>
      <c r="Y1081" s="570"/>
      <c r="Z1081" s="570"/>
      <c r="AA1081" s="570"/>
      <c r="AB1081" s="570"/>
      <c r="AC1081" s="570"/>
      <c r="AD1081" s="570"/>
      <c r="AE1081" s="570"/>
      <c r="AF1081" s="570"/>
      <c r="AG1081" s="570"/>
      <c r="AH1081" s="570"/>
      <c r="AI1081" s="570"/>
      <c r="AJ1081" s="570"/>
      <c r="AK1081" s="570"/>
      <c r="AL1081" s="570"/>
      <c r="AM1081" s="570"/>
      <c r="AN1081" s="570"/>
      <c r="AO1081" s="570"/>
      <c r="AP1081" s="570"/>
      <c r="AQ1081" s="570"/>
      <c r="AR1081" s="570"/>
      <c r="AS1081" s="570"/>
      <c r="AT1081" s="570"/>
      <c r="AU1081" s="570"/>
    </row>
    <row r="1082" spans="1:47" ht="15.75" customHeight="1">
      <c r="A1082" s="571">
        <v>44881</v>
      </c>
      <c r="B1082" s="572" t="s">
        <v>6840</v>
      </c>
      <c r="C1082" s="561" t="s">
        <v>3793</v>
      </c>
      <c r="D1082" s="561" t="s">
        <v>6343</v>
      </c>
      <c r="E1082" s="573">
        <v>5000</v>
      </c>
      <c r="F1082" s="561" t="s">
        <v>259</v>
      </c>
      <c r="G1082" s="561" t="s">
        <v>46</v>
      </c>
      <c r="H1082" s="561" t="s">
        <v>20</v>
      </c>
      <c r="I1082" s="561" t="s">
        <v>3855</v>
      </c>
      <c r="J1082" s="571">
        <v>44231</v>
      </c>
      <c r="K1082" s="561" t="s">
        <v>3817</v>
      </c>
      <c r="L1082" s="570"/>
      <c r="M1082" s="570"/>
      <c r="N1082" s="570"/>
      <c r="O1082" s="570"/>
      <c r="P1082" s="570"/>
      <c r="Q1082" s="570"/>
      <c r="R1082" s="570"/>
      <c r="S1082" s="570"/>
      <c r="T1082" s="570"/>
      <c r="U1082" s="570"/>
      <c r="V1082" s="570"/>
      <c r="W1082" s="570"/>
      <c r="X1082" s="570"/>
      <c r="Y1082" s="570"/>
      <c r="Z1082" s="570"/>
      <c r="AA1082" s="570"/>
      <c r="AB1082" s="570"/>
      <c r="AC1082" s="570"/>
      <c r="AD1082" s="570"/>
      <c r="AE1082" s="570"/>
      <c r="AF1082" s="570"/>
      <c r="AG1082" s="570"/>
      <c r="AH1082" s="570"/>
      <c r="AI1082" s="570"/>
      <c r="AJ1082" s="570"/>
      <c r="AK1082" s="570"/>
      <c r="AL1082" s="570"/>
      <c r="AM1082" s="570"/>
      <c r="AN1082" s="570"/>
      <c r="AO1082" s="570"/>
      <c r="AP1082" s="570"/>
      <c r="AQ1082" s="570"/>
      <c r="AR1082" s="570"/>
      <c r="AS1082" s="570"/>
      <c r="AT1082" s="570"/>
      <c r="AU1082" s="570"/>
    </row>
    <row r="1083" spans="1:47" ht="15.75" customHeight="1">
      <c r="A1083" s="571">
        <v>44881</v>
      </c>
      <c r="B1083" s="605" t="s">
        <v>6654</v>
      </c>
      <c r="C1083" s="405" t="s">
        <v>3793</v>
      </c>
      <c r="D1083" s="561" t="s">
        <v>6343</v>
      </c>
      <c r="E1083" s="584">
        <v>20000</v>
      </c>
      <c r="F1083" s="561" t="s">
        <v>3959</v>
      </c>
      <c r="G1083" s="561" t="s">
        <v>19</v>
      </c>
      <c r="H1083" s="561" t="s">
        <v>20</v>
      </c>
      <c r="I1083" s="561" t="s">
        <v>3960</v>
      </c>
      <c r="J1083" s="571">
        <v>44061</v>
      </c>
      <c r="K1083" s="561" t="s">
        <v>3803</v>
      </c>
      <c r="L1083" s="570"/>
      <c r="M1083" s="570"/>
      <c r="N1083" s="570"/>
      <c r="O1083" s="570"/>
      <c r="P1083" s="570"/>
      <c r="Q1083" s="570"/>
      <c r="R1083" s="570"/>
      <c r="S1083" s="570"/>
      <c r="T1083" s="570"/>
      <c r="U1083" s="570"/>
      <c r="V1083" s="570"/>
      <c r="W1083" s="570"/>
      <c r="X1083" s="570"/>
      <c r="Y1083" s="570"/>
      <c r="Z1083" s="570"/>
      <c r="AA1083" s="570"/>
      <c r="AB1083" s="570"/>
      <c r="AC1083" s="570"/>
      <c r="AD1083" s="570"/>
      <c r="AE1083" s="570"/>
      <c r="AF1083" s="570"/>
      <c r="AG1083" s="570"/>
      <c r="AH1083" s="570"/>
      <c r="AI1083" s="570"/>
      <c r="AJ1083" s="570"/>
      <c r="AK1083" s="570"/>
      <c r="AL1083" s="570"/>
      <c r="AM1083" s="570"/>
      <c r="AN1083" s="570"/>
      <c r="AO1083" s="570"/>
      <c r="AP1083" s="570"/>
      <c r="AQ1083" s="570"/>
      <c r="AR1083" s="570"/>
      <c r="AS1083" s="570"/>
      <c r="AT1083" s="570"/>
      <c r="AU1083" s="570"/>
    </row>
    <row r="1084" spans="1:47" ht="15.75" customHeight="1">
      <c r="A1084" s="571">
        <v>44882</v>
      </c>
      <c r="B1084" s="572" t="s">
        <v>6841</v>
      </c>
      <c r="C1084" s="561" t="s">
        <v>3793</v>
      </c>
      <c r="D1084" s="561" t="s">
        <v>6343</v>
      </c>
      <c r="E1084" s="573">
        <v>10000</v>
      </c>
      <c r="F1084" s="561" t="s">
        <v>3129</v>
      </c>
      <c r="G1084" s="561" t="s">
        <v>19</v>
      </c>
      <c r="H1084" s="561" t="s">
        <v>20</v>
      </c>
      <c r="I1084" s="561" t="s">
        <v>21</v>
      </c>
      <c r="J1084" s="571">
        <v>44644</v>
      </c>
      <c r="K1084" s="561" t="s">
        <v>3810</v>
      </c>
      <c r="L1084" s="570"/>
      <c r="M1084" s="570"/>
      <c r="N1084" s="570"/>
      <c r="O1084" s="570"/>
      <c r="P1084" s="570"/>
      <c r="Q1084" s="570"/>
      <c r="R1084" s="570"/>
      <c r="S1084" s="570"/>
      <c r="T1084" s="570"/>
      <c r="U1084" s="570"/>
      <c r="V1084" s="570"/>
      <c r="W1084" s="570"/>
      <c r="X1084" s="570"/>
      <c r="Y1084" s="570"/>
      <c r="Z1084" s="570"/>
      <c r="AA1084" s="570"/>
      <c r="AB1084" s="570"/>
      <c r="AC1084" s="570"/>
      <c r="AD1084" s="570"/>
      <c r="AE1084" s="570"/>
      <c r="AF1084" s="570"/>
      <c r="AG1084" s="570"/>
      <c r="AH1084" s="570"/>
      <c r="AI1084" s="570"/>
      <c r="AJ1084" s="570"/>
      <c r="AK1084" s="570"/>
      <c r="AL1084" s="570"/>
      <c r="AM1084" s="570"/>
      <c r="AN1084" s="570"/>
      <c r="AO1084" s="570"/>
      <c r="AP1084" s="570"/>
      <c r="AQ1084" s="570"/>
      <c r="AR1084" s="570"/>
      <c r="AS1084" s="570"/>
      <c r="AT1084" s="570"/>
      <c r="AU1084" s="570"/>
    </row>
    <row r="1085" spans="1:47" ht="15.75" customHeight="1">
      <c r="A1085" s="571">
        <v>44887</v>
      </c>
      <c r="B1085" s="572" t="s">
        <v>6842</v>
      </c>
      <c r="C1085" s="561" t="s">
        <v>3793</v>
      </c>
      <c r="D1085" s="561" t="s">
        <v>6343</v>
      </c>
      <c r="E1085" s="573">
        <v>18042.73</v>
      </c>
      <c r="F1085" s="561" t="s">
        <v>4617</v>
      </c>
      <c r="G1085" s="561" t="s">
        <v>19</v>
      </c>
      <c r="H1085" s="561" t="s">
        <v>66</v>
      </c>
      <c r="I1085" s="561" t="s">
        <v>2039</v>
      </c>
      <c r="J1085" s="561" t="s">
        <v>3154</v>
      </c>
      <c r="K1085" s="561" t="s">
        <v>3810</v>
      </c>
      <c r="L1085" s="570"/>
      <c r="M1085" s="570"/>
      <c r="N1085" s="570"/>
      <c r="O1085" s="570"/>
      <c r="P1085" s="570"/>
      <c r="Q1085" s="570"/>
      <c r="R1085" s="570"/>
      <c r="S1085" s="570"/>
      <c r="T1085" s="570"/>
      <c r="U1085" s="570"/>
      <c r="V1085" s="570"/>
      <c r="W1085" s="570"/>
      <c r="X1085" s="570"/>
      <c r="Y1085" s="570"/>
      <c r="Z1085" s="570"/>
      <c r="AA1085" s="570"/>
      <c r="AB1085" s="570"/>
      <c r="AC1085" s="570"/>
      <c r="AD1085" s="570"/>
      <c r="AE1085" s="570"/>
      <c r="AF1085" s="570"/>
      <c r="AG1085" s="570"/>
      <c r="AH1085" s="570"/>
      <c r="AI1085" s="570"/>
      <c r="AJ1085" s="570"/>
      <c r="AK1085" s="570"/>
      <c r="AL1085" s="570"/>
      <c r="AM1085" s="570"/>
      <c r="AN1085" s="570"/>
      <c r="AO1085" s="570"/>
      <c r="AP1085" s="570"/>
      <c r="AQ1085" s="570"/>
      <c r="AR1085" s="570"/>
      <c r="AS1085" s="570"/>
      <c r="AT1085" s="570"/>
      <c r="AU1085" s="570"/>
    </row>
    <row r="1086" spans="1:47" ht="15.75" customHeight="1">
      <c r="A1086" s="571">
        <v>44889</v>
      </c>
      <c r="B1086" s="572" t="s">
        <v>6777</v>
      </c>
      <c r="C1086" s="561" t="s">
        <v>3793</v>
      </c>
      <c r="D1086" s="561" t="s">
        <v>6343</v>
      </c>
      <c r="E1086" s="573">
        <v>33000</v>
      </c>
      <c r="F1086" s="561" t="s">
        <v>4731</v>
      </c>
      <c r="G1086" s="561" t="s">
        <v>19</v>
      </c>
      <c r="H1086" s="561" t="s">
        <v>20</v>
      </c>
      <c r="I1086" s="561" t="s">
        <v>3080</v>
      </c>
      <c r="J1086" s="571">
        <v>44393</v>
      </c>
      <c r="K1086" s="561" t="s">
        <v>3797</v>
      </c>
      <c r="L1086" s="570"/>
      <c r="M1086" s="570"/>
      <c r="N1086" s="570"/>
      <c r="O1086" s="570"/>
      <c r="P1086" s="570"/>
      <c r="Q1086" s="570"/>
      <c r="R1086" s="570"/>
      <c r="S1086" s="570"/>
      <c r="T1086" s="570"/>
      <c r="U1086" s="570"/>
      <c r="V1086" s="570"/>
      <c r="W1086" s="570"/>
      <c r="X1086" s="570"/>
      <c r="Y1086" s="570"/>
      <c r="Z1086" s="570"/>
      <c r="AA1086" s="570"/>
      <c r="AB1086" s="570"/>
      <c r="AC1086" s="570"/>
      <c r="AD1086" s="570"/>
      <c r="AE1086" s="570"/>
      <c r="AF1086" s="570"/>
      <c r="AG1086" s="570"/>
      <c r="AH1086" s="570"/>
      <c r="AI1086" s="570"/>
      <c r="AJ1086" s="570"/>
      <c r="AK1086" s="570"/>
      <c r="AL1086" s="570"/>
      <c r="AM1086" s="570"/>
      <c r="AN1086" s="570"/>
      <c r="AO1086" s="570"/>
      <c r="AP1086" s="570"/>
      <c r="AQ1086" s="570"/>
      <c r="AR1086" s="570"/>
      <c r="AS1086" s="570"/>
      <c r="AT1086" s="570"/>
      <c r="AU1086" s="570"/>
    </row>
    <row r="1087" spans="1:47" ht="15.75" customHeight="1">
      <c r="A1087" s="595">
        <v>44889</v>
      </c>
      <c r="B1087" s="583" t="s">
        <v>6674</v>
      </c>
      <c r="C1087" s="530" t="s">
        <v>3793</v>
      </c>
      <c r="D1087" s="596" t="s">
        <v>6343</v>
      </c>
      <c r="E1087" s="597">
        <v>7000</v>
      </c>
      <c r="F1087" s="596" t="s">
        <v>3847</v>
      </c>
      <c r="G1087" s="596" t="s">
        <v>19</v>
      </c>
      <c r="H1087" s="596" t="s">
        <v>66</v>
      </c>
      <c r="I1087" s="596" t="s">
        <v>144</v>
      </c>
      <c r="J1087" s="595">
        <v>44609</v>
      </c>
      <c r="K1087" s="530" t="s">
        <v>3813</v>
      </c>
      <c r="L1087" s="570"/>
      <c r="M1087" s="570"/>
      <c r="N1087" s="570"/>
      <c r="O1087" s="570"/>
      <c r="P1087" s="570"/>
      <c r="Q1087" s="570"/>
      <c r="R1087" s="570"/>
      <c r="S1087" s="570"/>
      <c r="T1087" s="570"/>
      <c r="U1087" s="570"/>
      <c r="V1087" s="570"/>
      <c r="W1087" s="570"/>
      <c r="X1087" s="570"/>
      <c r="Y1087" s="570"/>
      <c r="Z1087" s="570"/>
      <c r="AA1087" s="570"/>
      <c r="AB1087" s="570"/>
      <c r="AC1087" s="570"/>
      <c r="AD1087" s="570"/>
      <c r="AE1087" s="570"/>
      <c r="AF1087" s="570"/>
      <c r="AG1087" s="570"/>
      <c r="AH1087" s="570"/>
      <c r="AI1087" s="570"/>
      <c r="AJ1087" s="570"/>
      <c r="AK1087" s="570"/>
      <c r="AL1087" s="570"/>
      <c r="AM1087" s="570"/>
      <c r="AN1087" s="570"/>
      <c r="AO1087" s="570"/>
      <c r="AP1087" s="570"/>
      <c r="AQ1087" s="570"/>
      <c r="AR1087" s="570"/>
      <c r="AS1087" s="570"/>
      <c r="AT1087" s="570"/>
      <c r="AU1087" s="570"/>
    </row>
    <row r="1088" spans="1:47" ht="15.75" customHeight="1">
      <c r="A1088" s="595">
        <v>44889</v>
      </c>
      <c r="B1088" s="583" t="s">
        <v>6674</v>
      </c>
      <c r="C1088" s="530" t="s">
        <v>3793</v>
      </c>
      <c r="D1088" s="596" t="s">
        <v>6343</v>
      </c>
      <c r="E1088" s="597">
        <v>7000</v>
      </c>
      <c r="F1088" s="596" t="s">
        <v>3847</v>
      </c>
      <c r="G1088" s="596" t="s">
        <v>19</v>
      </c>
      <c r="H1088" s="596" t="s">
        <v>66</v>
      </c>
      <c r="I1088" s="596" t="s">
        <v>144</v>
      </c>
      <c r="J1088" s="595">
        <v>44609</v>
      </c>
      <c r="K1088" s="530" t="s">
        <v>3813</v>
      </c>
      <c r="L1088" s="570"/>
      <c r="M1088" s="570"/>
      <c r="N1088" s="570"/>
      <c r="O1088" s="570"/>
      <c r="P1088" s="570"/>
      <c r="Q1088" s="570"/>
      <c r="R1088" s="570"/>
      <c r="S1088" s="570"/>
      <c r="T1088" s="570"/>
      <c r="U1088" s="570"/>
      <c r="V1088" s="570"/>
      <c r="W1088" s="570"/>
      <c r="X1088" s="570"/>
      <c r="Y1088" s="570"/>
      <c r="Z1088" s="570"/>
      <c r="AA1088" s="570"/>
      <c r="AB1088" s="570"/>
      <c r="AC1088" s="570"/>
      <c r="AD1088" s="570"/>
      <c r="AE1088" s="570"/>
      <c r="AF1088" s="570"/>
      <c r="AG1088" s="570"/>
      <c r="AH1088" s="570"/>
      <c r="AI1088" s="570"/>
      <c r="AJ1088" s="570"/>
      <c r="AK1088" s="570"/>
      <c r="AL1088" s="570"/>
      <c r="AM1088" s="570"/>
      <c r="AN1088" s="570"/>
      <c r="AO1088" s="570"/>
      <c r="AP1088" s="570"/>
      <c r="AQ1088" s="570"/>
      <c r="AR1088" s="570"/>
      <c r="AS1088" s="570"/>
      <c r="AT1088" s="570"/>
      <c r="AU1088" s="570"/>
    </row>
    <row r="1089" spans="1:47" ht="15.75" customHeight="1">
      <c r="A1089" s="571">
        <v>44890</v>
      </c>
      <c r="B1089" s="572" t="s">
        <v>6843</v>
      </c>
      <c r="C1089" s="561" t="s">
        <v>3793</v>
      </c>
      <c r="D1089" s="561" t="s">
        <v>6343</v>
      </c>
      <c r="E1089" s="573">
        <v>3000</v>
      </c>
      <c r="F1089" s="561" t="s">
        <v>6844</v>
      </c>
      <c r="G1089" s="561" t="s">
        <v>46</v>
      </c>
      <c r="H1089" s="561" t="s">
        <v>20</v>
      </c>
      <c r="I1089" s="561" t="s">
        <v>4160</v>
      </c>
      <c r="J1089" s="571">
        <v>44840</v>
      </c>
      <c r="K1089" s="561" t="s">
        <v>3810</v>
      </c>
      <c r="L1089" s="570"/>
      <c r="M1089" s="570"/>
      <c r="N1089" s="570"/>
      <c r="O1089" s="570"/>
      <c r="P1089" s="570"/>
      <c r="Q1089" s="570"/>
      <c r="R1089" s="570"/>
      <c r="S1089" s="570"/>
      <c r="T1089" s="570"/>
      <c r="U1089" s="570"/>
      <c r="V1089" s="570"/>
      <c r="W1089" s="570"/>
      <c r="X1089" s="570"/>
      <c r="Y1089" s="570"/>
      <c r="Z1089" s="570"/>
      <c r="AA1089" s="570"/>
      <c r="AB1089" s="570"/>
      <c r="AC1089" s="570"/>
      <c r="AD1089" s="570"/>
      <c r="AE1089" s="570"/>
      <c r="AF1089" s="570"/>
      <c r="AG1089" s="570"/>
      <c r="AH1089" s="570"/>
      <c r="AI1089" s="570"/>
      <c r="AJ1089" s="570"/>
      <c r="AK1089" s="570"/>
      <c r="AL1089" s="570"/>
      <c r="AM1089" s="570"/>
      <c r="AN1089" s="570"/>
      <c r="AO1089" s="570"/>
      <c r="AP1089" s="570"/>
      <c r="AQ1089" s="570"/>
      <c r="AR1089" s="570"/>
      <c r="AS1089" s="570"/>
      <c r="AT1089" s="570"/>
      <c r="AU1089" s="570"/>
    </row>
    <row r="1090" spans="1:47" ht="15.75" customHeight="1">
      <c r="A1090" s="571">
        <v>44890</v>
      </c>
      <c r="B1090" s="583" t="s">
        <v>6762</v>
      </c>
      <c r="C1090" s="530" t="s">
        <v>3793</v>
      </c>
      <c r="D1090" s="596" t="s">
        <v>6343</v>
      </c>
      <c r="E1090" s="597">
        <v>300000</v>
      </c>
      <c r="F1090" s="596" t="s">
        <v>1577</v>
      </c>
      <c r="G1090" s="596" t="s">
        <v>19</v>
      </c>
      <c r="H1090" s="596" t="s">
        <v>66</v>
      </c>
      <c r="I1090" s="596" t="s">
        <v>67</v>
      </c>
      <c r="J1090" s="595">
        <v>44568</v>
      </c>
      <c r="K1090" s="530" t="s">
        <v>4473</v>
      </c>
      <c r="L1090" s="570"/>
      <c r="M1090" s="570"/>
      <c r="N1090" s="570"/>
      <c r="O1090" s="570"/>
      <c r="P1090" s="570"/>
      <c r="Q1090" s="570"/>
      <c r="R1090" s="570"/>
      <c r="S1090" s="570"/>
      <c r="T1090" s="570"/>
      <c r="U1090" s="570"/>
      <c r="V1090" s="570"/>
      <c r="W1090" s="570"/>
      <c r="X1090" s="570"/>
      <c r="Y1090" s="570"/>
      <c r="Z1090" s="570"/>
      <c r="AA1090" s="570"/>
      <c r="AB1090" s="570"/>
      <c r="AC1090" s="570"/>
      <c r="AD1090" s="570"/>
      <c r="AE1090" s="570"/>
      <c r="AF1090" s="570"/>
      <c r="AG1090" s="570"/>
      <c r="AH1090" s="570"/>
      <c r="AI1090" s="570"/>
      <c r="AJ1090" s="570"/>
      <c r="AK1090" s="570"/>
      <c r="AL1090" s="570"/>
      <c r="AM1090" s="570"/>
      <c r="AN1090" s="570"/>
      <c r="AO1090" s="570"/>
      <c r="AP1090" s="570"/>
      <c r="AQ1090" s="570"/>
      <c r="AR1090" s="570"/>
      <c r="AS1090" s="570"/>
      <c r="AT1090" s="570"/>
      <c r="AU1090" s="570"/>
    </row>
    <row r="1091" spans="1:47" ht="15.75" customHeight="1">
      <c r="A1091" s="571">
        <v>44890</v>
      </c>
      <c r="B1091" s="572" t="s">
        <v>6775</v>
      </c>
      <c r="C1091" s="561" t="s">
        <v>3793</v>
      </c>
      <c r="D1091" s="561" t="s">
        <v>6343</v>
      </c>
      <c r="E1091" s="573">
        <v>5000</v>
      </c>
      <c r="F1091" s="561" t="s">
        <v>6776</v>
      </c>
      <c r="G1091" s="561" t="s">
        <v>19</v>
      </c>
      <c r="H1091" s="561" t="s">
        <v>20</v>
      </c>
      <c r="I1091" s="561" t="s">
        <v>791</v>
      </c>
      <c r="J1091" s="571">
        <v>44460</v>
      </c>
      <c r="K1091" s="561" t="s">
        <v>3810</v>
      </c>
      <c r="L1091" s="570"/>
      <c r="M1091" s="570"/>
      <c r="N1091" s="570"/>
      <c r="O1091" s="570"/>
      <c r="P1091" s="570"/>
      <c r="Q1091" s="570"/>
      <c r="R1091" s="570"/>
      <c r="S1091" s="570"/>
      <c r="T1091" s="570"/>
      <c r="U1091" s="570"/>
      <c r="V1091" s="570"/>
      <c r="W1091" s="570"/>
      <c r="X1091" s="570"/>
      <c r="Y1091" s="570"/>
      <c r="Z1091" s="570"/>
      <c r="AA1091" s="570"/>
      <c r="AB1091" s="570"/>
      <c r="AC1091" s="570"/>
      <c r="AD1091" s="570"/>
      <c r="AE1091" s="570"/>
      <c r="AF1091" s="570"/>
      <c r="AG1091" s="570"/>
      <c r="AH1091" s="570"/>
      <c r="AI1091" s="570"/>
      <c r="AJ1091" s="570"/>
      <c r="AK1091" s="570"/>
      <c r="AL1091" s="570"/>
      <c r="AM1091" s="570"/>
      <c r="AN1091" s="570"/>
      <c r="AO1091" s="570"/>
      <c r="AP1091" s="570"/>
      <c r="AQ1091" s="570"/>
      <c r="AR1091" s="570"/>
      <c r="AS1091" s="570"/>
      <c r="AT1091" s="570"/>
      <c r="AU1091" s="570"/>
    </row>
    <row r="1092" spans="1:47" ht="15.75" customHeight="1">
      <c r="A1092" s="571">
        <v>44893</v>
      </c>
      <c r="B1092" s="572" t="s">
        <v>6845</v>
      </c>
      <c r="C1092" s="561" t="s">
        <v>3793</v>
      </c>
      <c r="D1092" s="561" t="s">
        <v>6343</v>
      </c>
      <c r="E1092" s="573">
        <v>30000</v>
      </c>
      <c r="F1092" s="561" t="s">
        <v>5169</v>
      </c>
      <c r="G1092" s="561" t="s">
        <v>19</v>
      </c>
      <c r="H1092" s="561" t="s">
        <v>66</v>
      </c>
      <c r="I1092" s="561" t="s">
        <v>3640</v>
      </c>
      <c r="J1092" s="571">
        <v>44186</v>
      </c>
      <c r="K1092" s="561" t="s">
        <v>3797</v>
      </c>
      <c r="L1092" s="570"/>
      <c r="M1092" s="570"/>
      <c r="N1092" s="570"/>
      <c r="O1092" s="570"/>
      <c r="P1092" s="570"/>
      <c r="Q1092" s="570"/>
      <c r="R1092" s="570"/>
      <c r="S1092" s="570"/>
      <c r="T1092" s="570"/>
      <c r="U1092" s="570"/>
      <c r="V1092" s="570"/>
      <c r="W1092" s="570"/>
      <c r="X1092" s="570"/>
      <c r="Y1092" s="570"/>
      <c r="Z1092" s="570"/>
      <c r="AA1092" s="570"/>
      <c r="AB1092" s="570"/>
      <c r="AC1092" s="570"/>
      <c r="AD1092" s="570"/>
      <c r="AE1092" s="570"/>
      <c r="AF1092" s="570"/>
      <c r="AG1092" s="570"/>
      <c r="AH1092" s="570"/>
      <c r="AI1092" s="570"/>
      <c r="AJ1092" s="570"/>
      <c r="AK1092" s="570"/>
      <c r="AL1092" s="570"/>
      <c r="AM1092" s="570"/>
      <c r="AN1092" s="570"/>
      <c r="AO1092" s="570"/>
      <c r="AP1092" s="570"/>
      <c r="AQ1092" s="570"/>
      <c r="AR1092" s="570"/>
      <c r="AS1092" s="570"/>
      <c r="AT1092" s="570"/>
      <c r="AU1092" s="570"/>
    </row>
    <row r="1093" spans="1:47" ht="15.75" customHeight="1">
      <c r="A1093" s="571">
        <v>44893</v>
      </c>
      <c r="B1093" s="596">
        <v>6986262</v>
      </c>
      <c r="C1093" s="561" t="s">
        <v>3793</v>
      </c>
      <c r="D1093" s="561" t="s">
        <v>6343</v>
      </c>
      <c r="E1093" s="573">
        <v>4386.42</v>
      </c>
      <c r="F1093" s="561" t="s">
        <v>4305</v>
      </c>
      <c r="G1093" s="553" t="s">
        <v>19</v>
      </c>
      <c r="H1093" s="561" t="s">
        <v>66</v>
      </c>
      <c r="I1093" s="561" t="s">
        <v>4142</v>
      </c>
      <c r="J1093" s="571">
        <v>44503</v>
      </c>
      <c r="K1093" s="530" t="s">
        <v>3850</v>
      </c>
      <c r="L1093" s="570"/>
      <c r="M1093" s="570"/>
      <c r="N1093" s="570"/>
      <c r="O1093" s="570"/>
      <c r="P1093" s="570"/>
      <c r="Q1093" s="570"/>
      <c r="R1093" s="570"/>
      <c r="S1093" s="570"/>
      <c r="T1093" s="570"/>
      <c r="U1093" s="570"/>
      <c r="V1093" s="570"/>
      <c r="W1093" s="570"/>
      <c r="X1093" s="570"/>
      <c r="Y1093" s="570"/>
      <c r="Z1093" s="570"/>
      <c r="AA1093" s="570"/>
      <c r="AB1093" s="570"/>
      <c r="AC1093" s="570"/>
      <c r="AD1093" s="570"/>
      <c r="AE1093" s="570"/>
      <c r="AF1093" s="570"/>
      <c r="AG1093" s="570"/>
      <c r="AH1093" s="570"/>
      <c r="AI1093" s="570"/>
      <c r="AJ1093" s="570"/>
      <c r="AK1093" s="570"/>
      <c r="AL1093" s="570"/>
      <c r="AM1093" s="570"/>
      <c r="AN1093" s="570"/>
      <c r="AO1093" s="570"/>
      <c r="AP1093" s="570"/>
      <c r="AQ1093" s="570"/>
      <c r="AR1093" s="570"/>
      <c r="AS1093" s="570"/>
      <c r="AT1093" s="570"/>
      <c r="AU1093" s="570"/>
    </row>
    <row r="1094" spans="1:47" ht="15.75" customHeight="1">
      <c r="A1094" s="571">
        <v>44894</v>
      </c>
      <c r="B1094" s="572" t="s">
        <v>6809</v>
      </c>
      <c r="C1094" s="561" t="s">
        <v>3793</v>
      </c>
      <c r="D1094" s="561" t="s">
        <v>921</v>
      </c>
      <c r="E1094" s="573">
        <v>377183.5</v>
      </c>
      <c r="F1094" s="561" t="s">
        <v>4864</v>
      </c>
      <c r="G1094" s="561" t="s">
        <v>19</v>
      </c>
      <c r="H1094" s="561" t="s">
        <v>66</v>
      </c>
      <c r="I1094" s="561" t="s">
        <v>265</v>
      </c>
      <c r="J1094" s="571">
        <v>44714</v>
      </c>
      <c r="K1094" s="561" t="s">
        <v>3817</v>
      </c>
      <c r="L1094" s="570"/>
      <c r="M1094" s="570"/>
      <c r="N1094" s="570"/>
      <c r="O1094" s="570"/>
      <c r="P1094" s="570"/>
      <c r="Q1094" s="570"/>
      <c r="R1094" s="570"/>
      <c r="S1094" s="570"/>
      <c r="T1094" s="570"/>
      <c r="U1094" s="570"/>
      <c r="V1094" s="570"/>
      <c r="W1094" s="570"/>
      <c r="X1094" s="570"/>
      <c r="Y1094" s="570"/>
      <c r="Z1094" s="570"/>
      <c r="AA1094" s="570"/>
      <c r="AB1094" s="570"/>
      <c r="AC1094" s="570"/>
      <c r="AD1094" s="570"/>
      <c r="AE1094" s="570"/>
      <c r="AF1094" s="570"/>
      <c r="AG1094" s="570"/>
      <c r="AH1094" s="570"/>
      <c r="AI1094" s="570"/>
      <c r="AJ1094" s="570"/>
      <c r="AK1094" s="570"/>
      <c r="AL1094" s="570"/>
      <c r="AM1094" s="570"/>
      <c r="AN1094" s="570"/>
      <c r="AO1094" s="570"/>
      <c r="AP1094" s="570"/>
      <c r="AQ1094" s="570"/>
      <c r="AR1094" s="570"/>
      <c r="AS1094" s="570"/>
      <c r="AT1094" s="570"/>
      <c r="AU1094" s="570"/>
    </row>
    <row r="1095" spans="1:47" ht="15.75" customHeight="1">
      <c r="A1095" s="571">
        <v>44894</v>
      </c>
      <c r="B1095" s="572" t="s">
        <v>6846</v>
      </c>
      <c r="C1095" s="561" t="s">
        <v>3793</v>
      </c>
      <c r="D1095" s="561" t="s">
        <v>6343</v>
      </c>
      <c r="E1095" s="573">
        <v>60000</v>
      </c>
      <c r="F1095" s="561" t="s">
        <v>1971</v>
      </c>
      <c r="G1095" s="561" t="s">
        <v>19</v>
      </c>
      <c r="H1095" s="561" t="s">
        <v>66</v>
      </c>
      <c r="I1095" s="561" t="s">
        <v>67</v>
      </c>
      <c r="J1095" s="571">
        <v>44714</v>
      </c>
      <c r="K1095" s="561" t="s">
        <v>3813</v>
      </c>
      <c r="L1095" s="570"/>
      <c r="M1095" s="570"/>
      <c r="N1095" s="570"/>
      <c r="O1095" s="570"/>
      <c r="P1095" s="570"/>
      <c r="Q1095" s="570"/>
      <c r="R1095" s="570"/>
      <c r="S1095" s="570"/>
      <c r="T1095" s="570"/>
      <c r="U1095" s="570"/>
      <c r="V1095" s="570"/>
      <c r="W1095" s="570"/>
      <c r="X1095" s="570"/>
      <c r="Y1095" s="570"/>
      <c r="Z1095" s="570"/>
      <c r="AA1095" s="570"/>
      <c r="AB1095" s="570"/>
      <c r="AC1095" s="570"/>
      <c r="AD1095" s="570"/>
      <c r="AE1095" s="570"/>
      <c r="AF1095" s="570"/>
      <c r="AG1095" s="570"/>
      <c r="AH1095" s="570"/>
      <c r="AI1095" s="570"/>
      <c r="AJ1095" s="570"/>
      <c r="AK1095" s="570"/>
      <c r="AL1095" s="570"/>
      <c r="AM1095" s="570"/>
      <c r="AN1095" s="570"/>
      <c r="AO1095" s="570"/>
      <c r="AP1095" s="570"/>
      <c r="AQ1095" s="570"/>
      <c r="AR1095" s="570"/>
      <c r="AS1095" s="570"/>
      <c r="AT1095" s="570"/>
      <c r="AU1095" s="570"/>
    </row>
    <row r="1096" spans="1:47" ht="15.75" customHeight="1">
      <c r="A1096" s="571">
        <v>44895</v>
      </c>
      <c r="B1096" s="572" t="s">
        <v>6708</v>
      </c>
      <c r="C1096" s="530" t="s">
        <v>3793</v>
      </c>
      <c r="D1096" s="561" t="s">
        <v>6343</v>
      </c>
      <c r="E1096" s="573">
        <v>15000</v>
      </c>
      <c r="F1096" s="530" t="s">
        <v>2055</v>
      </c>
      <c r="G1096" s="561" t="s">
        <v>19</v>
      </c>
      <c r="H1096" s="561" t="s">
        <v>66</v>
      </c>
      <c r="I1096" s="561" t="s">
        <v>144</v>
      </c>
      <c r="J1096" s="571">
        <v>44614</v>
      </c>
      <c r="K1096" s="554" t="s">
        <v>3803</v>
      </c>
      <c r="L1096" s="570"/>
      <c r="M1096" s="570"/>
      <c r="N1096" s="570"/>
      <c r="O1096" s="570"/>
      <c r="P1096" s="570"/>
      <c r="Q1096" s="570"/>
      <c r="R1096" s="570"/>
      <c r="S1096" s="570"/>
      <c r="T1096" s="570"/>
      <c r="U1096" s="570"/>
      <c r="V1096" s="570"/>
      <c r="W1096" s="570"/>
      <c r="X1096" s="570"/>
      <c r="Y1096" s="570"/>
      <c r="Z1096" s="570"/>
      <c r="AA1096" s="570"/>
      <c r="AB1096" s="570"/>
      <c r="AC1096" s="570"/>
      <c r="AD1096" s="570"/>
      <c r="AE1096" s="570"/>
      <c r="AF1096" s="570"/>
      <c r="AG1096" s="570"/>
      <c r="AH1096" s="570"/>
      <c r="AI1096" s="570"/>
      <c r="AJ1096" s="570"/>
      <c r="AK1096" s="570"/>
      <c r="AL1096" s="570"/>
      <c r="AM1096" s="570"/>
      <c r="AN1096" s="570"/>
      <c r="AO1096" s="570"/>
      <c r="AP1096" s="570"/>
      <c r="AQ1096" s="570"/>
      <c r="AR1096" s="570"/>
      <c r="AS1096" s="570"/>
      <c r="AT1096" s="570"/>
      <c r="AU1096" s="570"/>
    </row>
    <row r="1097" spans="1:47" ht="15.75" customHeight="1">
      <c r="A1097" s="571">
        <v>44896</v>
      </c>
      <c r="B1097" s="603" t="s">
        <v>6665</v>
      </c>
      <c r="C1097" s="405" t="s">
        <v>3793</v>
      </c>
      <c r="D1097" s="561" t="s">
        <v>6343</v>
      </c>
      <c r="E1097" s="584">
        <v>30000</v>
      </c>
      <c r="F1097" s="561" t="s">
        <v>1741</v>
      </c>
      <c r="G1097" s="571" t="s">
        <v>19</v>
      </c>
      <c r="H1097" s="571" t="s">
        <v>20</v>
      </c>
      <c r="I1097" s="571" t="s">
        <v>6332</v>
      </c>
      <c r="J1097" s="571">
        <v>44594</v>
      </c>
      <c r="K1097" s="571" t="s">
        <v>3810</v>
      </c>
      <c r="L1097" s="570"/>
      <c r="M1097" s="570"/>
      <c r="N1097" s="570"/>
      <c r="O1097" s="570"/>
      <c r="P1097" s="570"/>
      <c r="Q1097" s="570"/>
      <c r="R1097" s="570"/>
      <c r="S1097" s="570"/>
      <c r="T1097" s="570"/>
      <c r="U1097" s="570"/>
      <c r="V1097" s="570"/>
      <c r="W1097" s="570"/>
      <c r="X1097" s="570"/>
      <c r="Y1097" s="570"/>
      <c r="Z1097" s="570"/>
      <c r="AA1097" s="570"/>
      <c r="AB1097" s="570"/>
      <c r="AC1097" s="570"/>
      <c r="AD1097" s="570"/>
      <c r="AE1097" s="570"/>
      <c r="AF1097" s="570"/>
      <c r="AG1097" s="570"/>
      <c r="AH1097" s="570"/>
      <c r="AI1097" s="570"/>
      <c r="AJ1097" s="570"/>
      <c r="AK1097" s="570"/>
      <c r="AL1097" s="570"/>
      <c r="AM1097" s="570"/>
      <c r="AN1097" s="570"/>
      <c r="AO1097" s="570"/>
      <c r="AP1097" s="570"/>
      <c r="AQ1097" s="570"/>
      <c r="AR1097" s="570"/>
      <c r="AS1097" s="570"/>
      <c r="AT1097" s="570"/>
      <c r="AU1097" s="570"/>
    </row>
    <row r="1098" spans="1:47" ht="15.75" customHeight="1">
      <c r="A1098" s="571">
        <v>44896</v>
      </c>
      <c r="B1098" s="572" t="s">
        <v>6846</v>
      </c>
      <c r="C1098" s="561" t="s">
        <v>3793</v>
      </c>
      <c r="D1098" s="561" t="s">
        <v>6343</v>
      </c>
      <c r="E1098" s="573">
        <v>60000</v>
      </c>
      <c r="F1098" s="561" t="s">
        <v>1971</v>
      </c>
      <c r="G1098" s="561" t="s">
        <v>19</v>
      </c>
      <c r="H1098" s="561" t="s">
        <v>66</v>
      </c>
      <c r="I1098" s="561" t="s">
        <v>67</v>
      </c>
      <c r="J1098" s="571">
        <v>44714</v>
      </c>
      <c r="K1098" s="561" t="s">
        <v>3813</v>
      </c>
      <c r="L1098" s="570"/>
      <c r="M1098" s="570"/>
      <c r="N1098" s="570"/>
      <c r="O1098" s="570"/>
      <c r="P1098" s="570"/>
      <c r="Q1098" s="570"/>
      <c r="R1098" s="570"/>
      <c r="S1098" s="570"/>
      <c r="T1098" s="570"/>
      <c r="U1098" s="570"/>
      <c r="V1098" s="570"/>
      <c r="W1098" s="570"/>
      <c r="X1098" s="570"/>
      <c r="Y1098" s="570"/>
      <c r="Z1098" s="570"/>
      <c r="AA1098" s="570"/>
      <c r="AB1098" s="570"/>
      <c r="AC1098" s="570"/>
      <c r="AD1098" s="570"/>
      <c r="AE1098" s="570"/>
      <c r="AF1098" s="570"/>
      <c r="AG1098" s="570"/>
      <c r="AH1098" s="570"/>
      <c r="AI1098" s="570"/>
      <c r="AJ1098" s="570"/>
      <c r="AK1098" s="570"/>
      <c r="AL1098" s="570"/>
      <c r="AM1098" s="570"/>
      <c r="AN1098" s="570"/>
      <c r="AO1098" s="570"/>
      <c r="AP1098" s="570"/>
      <c r="AQ1098" s="570"/>
      <c r="AR1098" s="570"/>
      <c r="AS1098" s="570"/>
      <c r="AT1098" s="570"/>
      <c r="AU1098" s="570"/>
    </row>
    <row r="1099" spans="1:47" ht="15.75" customHeight="1">
      <c r="A1099" s="571">
        <v>44897</v>
      </c>
      <c r="B1099" s="572" t="s">
        <v>6759</v>
      </c>
      <c r="C1099" s="561" t="s">
        <v>3793</v>
      </c>
      <c r="D1099" s="561" t="s">
        <v>6343</v>
      </c>
      <c r="E1099" s="573">
        <v>30000</v>
      </c>
      <c r="F1099" s="561" t="s">
        <v>4108</v>
      </c>
      <c r="G1099" s="561" t="s">
        <v>19</v>
      </c>
      <c r="H1099" s="561" t="s">
        <v>66</v>
      </c>
      <c r="I1099" s="561" t="s">
        <v>5026</v>
      </c>
      <c r="J1099" s="571">
        <v>44445</v>
      </c>
      <c r="K1099" s="561" t="s">
        <v>3810</v>
      </c>
      <c r="L1099" s="570"/>
      <c r="M1099" s="570"/>
      <c r="N1099" s="570"/>
      <c r="O1099" s="570"/>
      <c r="P1099" s="570"/>
      <c r="Q1099" s="570"/>
      <c r="R1099" s="570"/>
      <c r="S1099" s="570"/>
      <c r="T1099" s="570"/>
      <c r="U1099" s="570"/>
      <c r="V1099" s="570"/>
      <c r="W1099" s="570"/>
      <c r="X1099" s="570"/>
      <c r="Y1099" s="570"/>
      <c r="Z1099" s="570"/>
      <c r="AA1099" s="570"/>
      <c r="AB1099" s="570"/>
      <c r="AC1099" s="570"/>
      <c r="AD1099" s="570"/>
      <c r="AE1099" s="570"/>
      <c r="AF1099" s="570"/>
      <c r="AG1099" s="570"/>
      <c r="AH1099" s="570"/>
      <c r="AI1099" s="570"/>
      <c r="AJ1099" s="570"/>
      <c r="AK1099" s="570"/>
      <c r="AL1099" s="570"/>
      <c r="AM1099" s="570"/>
      <c r="AN1099" s="570"/>
      <c r="AO1099" s="570"/>
      <c r="AP1099" s="570"/>
      <c r="AQ1099" s="570"/>
      <c r="AR1099" s="570"/>
      <c r="AS1099" s="570"/>
      <c r="AT1099" s="570"/>
      <c r="AU1099" s="570"/>
    </row>
    <row r="1100" spans="1:47" ht="15.75" customHeight="1">
      <c r="A1100" s="571">
        <v>44901</v>
      </c>
      <c r="B1100" s="639">
        <v>3241823</v>
      </c>
      <c r="C1100" s="561" t="s">
        <v>3793</v>
      </c>
      <c r="D1100" s="561" t="s">
        <v>6343</v>
      </c>
      <c r="E1100" s="573">
        <v>1620</v>
      </c>
      <c r="F1100" s="561" t="s">
        <v>631</v>
      </c>
      <c r="G1100" s="561" t="s">
        <v>19</v>
      </c>
      <c r="H1100" s="561" t="s">
        <v>20</v>
      </c>
      <c r="I1100" s="561" t="s">
        <v>184</v>
      </c>
      <c r="J1100" s="571">
        <v>44819</v>
      </c>
      <c r="K1100" s="561" t="s">
        <v>3813</v>
      </c>
      <c r="L1100" s="570"/>
      <c r="M1100" s="570"/>
      <c r="N1100" s="570"/>
      <c r="O1100" s="570"/>
      <c r="P1100" s="570"/>
      <c r="Q1100" s="570"/>
      <c r="R1100" s="570"/>
      <c r="S1100" s="570"/>
      <c r="T1100" s="570"/>
      <c r="U1100" s="570"/>
      <c r="V1100" s="570"/>
      <c r="W1100" s="570"/>
      <c r="X1100" s="570"/>
      <c r="Y1100" s="570"/>
      <c r="Z1100" s="570"/>
      <c r="AA1100" s="570"/>
      <c r="AB1100" s="570"/>
      <c r="AC1100" s="570"/>
      <c r="AD1100" s="570"/>
      <c r="AE1100" s="570"/>
      <c r="AF1100" s="570"/>
      <c r="AG1100" s="570"/>
      <c r="AH1100" s="570"/>
      <c r="AI1100" s="570"/>
      <c r="AJ1100" s="570"/>
      <c r="AK1100" s="570"/>
      <c r="AL1100" s="570"/>
      <c r="AM1100" s="570"/>
      <c r="AN1100" s="570"/>
      <c r="AO1100" s="570"/>
      <c r="AP1100" s="570"/>
      <c r="AQ1100" s="570"/>
      <c r="AR1100" s="570"/>
      <c r="AS1100" s="570"/>
      <c r="AT1100" s="570"/>
      <c r="AU1100" s="570"/>
    </row>
    <row r="1101" spans="1:47" ht="15.75" customHeight="1">
      <c r="A1101" s="571">
        <v>44901</v>
      </c>
      <c r="B1101" s="572" t="s">
        <v>6838</v>
      </c>
      <c r="C1101" s="561" t="s">
        <v>3793</v>
      </c>
      <c r="D1101" s="561" t="s">
        <v>6343</v>
      </c>
      <c r="E1101" s="573">
        <v>80000</v>
      </c>
      <c r="F1101" s="561" t="s">
        <v>2659</v>
      </c>
      <c r="G1101" s="561" t="s">
        <v>19</v>
      </c>
      <c r="H1101" s="561" t="s">
        <v>20</v>
      </c>
      <c r="I1101" s="561" t="s">
        <v>21</v>
      </c>
      <c r="J1101" s="571">
        <v>44802</v>
      </c>
      <c r="K1101" s="561" t="s">
        <v>3810</v>
      </c>
      <c r="L1101" s="570"/>
      <c r="M1101" s="570"/>
      <c r="N1101" s="570"/>
      <c r="O1101" s="570"/>
      <c r="P1101" s="570"/>
      <c r="Q1101" s="570"/>
      <c r="R1101" s="570"/>
      <c r="S1101" s="570"/>
      <c r="T1101" s="570"/>
      <c r="U1101" s="570"/>
      <c r="V1101" s="570"/>
      <c r="W1101" s="570"/>
      <c r="X1101" s="570"/>
      <c r="Y1101" s="570"/>
      <c r="Z1101" s="570"/>
      <c r="AA1101" s="570"/>
      <c r="AB1101" s="570"/>
      <c r="AC1101" s="570"/>
      <c r="AD1101" s="570"/>
      <c r="AE1101" s="570"/>
      <c r="AF1101" s="570"/>
      <c r="AG1101" s="570"/>
      <c r="AH1101" s="570"/>
      <c r="AI1101" s="570"/>
      <c r="AJ1101" s="570"/>
      <c r="AK1101" s="570"/>
      <c r="AL1101" s="570"/>
      <c r="AM1101" s="570"/>
      <c r="AN1101" s="570"/>
      <c r="AO1101" s="570"/>
      <c r="AP1101" s="570"/>
      <c r="AQ1101" s="570"/>
      <c r="AR1101" s="570"/>
      <c r="AS1101" s="570"/>
      <c r="AT1101" s="570"/>
      <c r="AU1101" s="570"/>
    </row>
    <row r="1102" spans="1:47" ht="15.75" customHeight="1">
      <c r="A1102" s="571">
        <v>44901</v>
      </c>
      <c r="B1102" s="572" t="s">
        <v>6845</v>
      </c>
      <c r="C1102" s="561" t="s">
        <v>3793</v>
      </c>
      <c r="D1102" s="561" t="s">
        <v>956</v>
      </c>
      <c r="E1102" s="573">
        <v>159092.51</v>
      </c>
      <c r="F1102" s="561" t="s">
        <v>5169</v>
      </c>
      <c r="G1102" s="561" t="s">
        <v>19</v>
      </c>
      <c r="H1102" s="561" t="s">
        <v>66</v>
      </c>
      <c r="I1102" s="561" t="s">
        <v>3640</v>
      </c>
      <c r="J1102" s="571">
        <v>44186</v>
      </c>
      <c r="K1102" s="561" t="s">
        <v>3797</v>
      </c>
      <c r="L1102" s="570"/>
      <c r="M1102" s="570"/>
      <c r="N1102" s="570"/>
      <c r="O1102" s="570"/>
      <c r="P1102" s="570"/>
      <c r="Q1102" s="570"/>
      <c r="R1102" s="570"/>
      <c r="S1102" s="570"/>
      <c r="T1102" s="570"/>
      <c r="U1102" s="570"/>
      <c r="V1102" s="570"/>
      <c r="W1102" s="570"/>
      <c r="X1102" s="570"/>
      <c r="Y1102" s="570"/>
      <c r="Z1102" s="570"/>
      <c r="AA1102" s="570"/>
      <c r="AB1102" s="570"/>
      <c r="AC1102" s="570"/>
      <c r="AD1102" s="570"/>
      <c r="AE1102" s="570"/>
      <c r="AF1102" s="570"/>
      <c r="AG1102" s="570"/>
      <c r="AH1102" s="570"/>
      <c r="AI1102" s="570"/>
      <c r="AJ1102" s="570"/>
      <c r="AK1102" s="570"/>
      <c r="AL1102" s="570"/>
      <c r="AM1102" s="570"/>
      <c r="AN1102" s="570"/>
      <c r="AO1102" s="570"/>
      <c r="AP1102" s="570"/>
      <c r="AQ1102" s="570"/>
      <c r="AR1102" s="570"/>
      <c r="AS1102" s="570"/>
      <c r="AT1102" s="570"/>
      <c r="AU1102" s="570"/>
    </row>
    <row r="1103" spans="1:47" ht="15.75" customHeight="1">
      <c r="A1103" s="571">
        <v>44907</v>
      </c>
      <c r="B1103" s="572">
        <v>4432780</v>
      </c>
      <c r="C1103" s="561" t="s">
        <v>3793</v>
      </c>
      <c r="D1103" s="561" t="s">
        <v>921</v>
      </c>
      <c r="E1103" s="573">
        <v>101114.41</v>
      </c>
      <c r="F1103" s="561" t="s">
        <v>3923</v>
      </c>
      <c r="G1103" s="561" t="s">
        <v>19</v>
      </c>
      <c r="H1103" s="561" t="s">
        <v>6847</v>
      </c>
      <c r="I1103" s="561" t="s">
        <v>6848</v>
      </c>
      <c r="J1103" s="571">
        <v>44078</v>
      </c>
      <c r="K1103" s="561" t="s">
        <v>3817</v>
      </c>
      <c r="L1103" s="570"/>
      <c r="M1103" s="570"/>
      <c r="N1103" s="570"/>
      <c r="O1103" s="570"/>
      <c r="P1103" s="570"/>
      <c r="Q1103" s="570"/>
      <c r="R1103" s="570"/>
      <c r="S1103" s="570"/>
      <c r="T1103" s="570"/>
      <c r="U1103" s="570"/>
      <c r="V1103" s="570"/>
      <c r="W1103" s="570"/>
      <c r="X1103" s="570"/>
      <c r="Y1103" s="570"/>
      <c r="Z1103" s="570"/>
      <c r="AA1103" s="570"/>
      <c r="AB1103" s="570"/>
      <c r="AC1103" s="570"/>
      <c r="AD1103" s="570"/>
      <c r="AE1103" s="570"/>
      <c r="AF1103" s="570"/>
      <c r="AG1103" s="570"/>
      <c r="AH1103" s="570"/>
      <c r="AI1103" s="570"/>
      <c r="AJ1103" s="570"/>
      <c r="AK1103" s="570"/>
      <c r="AL1103" s="570"/>
      <c r="AM1103" s="570"/>
      <c r="AN1103" s="570"/>
      <c r="AO1103" s="570"/>
      <c r="AP1103" s="570"/>
      <c r="AQ1103" s="570"/>
      <c r="AR1103" s="570"/>
      <c r="AS1103" s="570"/>
      <c r="AT1103" s="570"/>
      <c r="AU1103" s="570"/>
    </row>
    <row r="1104" spans="1:47" ht="15.75" customHeight="1">
      <c r="A1104" s="571">
        <v>44896</v>
      </c>
      <c r="B1104" s="572" t="s">
        <v>6849</v>
      </c>
      <c r="C1104" s="561" t="s">
        <v>3793</v>
      </c>
      <c r="D1104" s="561" t="s">
        <v>956</v>
      </c>
      <c r="E1104" s="573">
        <v>179504.09</v>
      </c>
      <c r="F1104" s="561" t="s">
        <v>4667</v>
      </c>
      <c r="G1104" s="561" t="s">
        <v>46</v>
      </c>
      <c r="H1104" s="561" t="s">
        <v>20</v>
      </c>
      <c r="I1104" s="561" t="s">
        <v>3640</v>
      </c>
      <c r="J1104" s="571">
        <v>44246</v>
      </c>
      <c r="K1104" s="561" t="s">
        <v>3803</v>
      </c>
      <c r="L1104" s="570"/>
      <c r="M1104" s="570"/>
      <c r="N1104" s="570"/>
      <c r="O1104" s="570"/>
      <c r="P1104" s="570"/>
      <c r="Q1104" s="570"/>
      <c r="R1104" s="570"/>
      <c r="S1104" s="570"/>
      <c r="T1104" s="570"/>
      <c r="U1104" s="570"/>
      <c r="V1104" s="570"/>
      <c r="W1104" s="570"/>
      <c r="X1104" s="570"/>
      <c r="Y1104" s="570"/>
      <c r="Z1104" s="570"/>
      <c r="AA1104" s="570"/>
      <c r="AB1104" s="570"/>
      <c r="AC1104" s="570"/>
      <c r="AD1104" s="570"/>
      <c r="AE1104" s="570"/>
      <c r="AF1104" s="570"/>
      <c r="AG1104" s="570"/>
      <c r="AH1104" s="570"/>
      <c r="AI1104" s="570"/>
      <c r="AJ1104" s="570"/>
      <c r="AK1104" s="570"/>
      <c r="AL1104" s="570"/>
      <c r="AM1104" s="570"/>
      <c r="AN1104" s="570"/>
      <c r="AO1104" s="570"/>
      <c r="AP1104" s="570"/>
      <c r="AQ1104" s="570"/>
      <c r="AR1104" s="570"/>
      <c r="AS1104" s="570"/>
      <c r="AT1104" s="570"/>
      <c r="AU1104" s="570"/>
    </row>
    <row r="1105" spans="1:47" ht="15.75" customHeight="1">
      <c r="A1105" s="571">
        <v>44895</v>
      </c>
      <c r="B1105" s="572" t="s">
        <v>6850</v>
      </c>
      <c r="C1105" s="561" t="s">
        <v>3793</v>
      </c>
      <c r="D1105" s="561" t="s">
        <v>956</v>
      </c>
      <c r="E1105" s="573" t="s">
        <v>6851</v>
      </c>
      <c r="F1105" s="563" t="s">
        <v>5216</v>
      </c>
      <c r="G1105" s="561" t="s">
        <v>19</v>
      </c>
      <c r="H1105" s="561" t="s">
        <v>66</v>
      </c>
      <c r="I1105" s="561" t="s">
        <v>316</v>
      </c>
      <c r="J1105" s="571">
        <v>44390</v>
      </c>
      <c r="K1105" s="561" t="s">
        <v>3817</v>
      </c>
      <c r="L1105" s="570"/>
      <c r="M1105" s="570"/>
      <c r="N1105" s="570"/>
      <c r="O1105" s="570"/>
      <c r="P1105" s="570"/>
      <c r="Q1105" s="570"/>
      <c r="R1105" s="570"/>
      <c r="S1105" s="570"/>
      <c r="T1105" s="570"/>
      <c r="U1105" s="570"/>
      <c r="V1105" s="570"/>
      <c r="W1105" s="570"/>
      <c r="X1105" s="570"/>
      <c r="Y1105" s="570"/>
      <c r="Z1105" s="570"/>
      <c r="AA1105" s="570"/>
      <c r="AB1105" s="570"/>
      <c r="AC1105" s="570"/>
      <c r="AD1105" s="570"/>
      <c r="AE1105" s="570"/>
      <c r="AF1105" s="570"/>
      <c r="AG1105" s="570"/>
      <c r="AH1105" s="570"/>
      <c r="AI1105" s="570"/>
      <c r="AJ1105" s="570"/>
      <c r="AK1105" s="570"/>
      <c r="AL1105" s="570"/>
      <c r="AM1105" s="570"/>
      <c r="AN1105" s="570"/>
      <c r="AO1105" s="570"/>
      <c r="AP1105" s="570"/>
      <c r="AQ1105" s="570"/>
      <c r="AR1105" s="570"/>
      <c r="AS1105" s="570"/>
      <c r="AT1105" s="570"/>
      <c r="AU1105" s="570"/>
    </row>
    <row r="1106" spans="1:47" ht="15.75" customHeight="1">
      <c r="A1106" s="571">
        <v>44901</v>
      </c>
      <c r="B1106" s="572" t="s">
        <v>6845</v>
      </c>
      <c r="C1106" s="561" t="s">
        <v>3793</v>
      </c>
      <c r="D1106" s="561" t="s">
        <v>956</v>
      </c>
      <c r="E1106" s="573">
        <v>156195.12</v>
      </c>
      <c r="F1106" s="561" t="s">
        <v>5169</v>
      </c>
      <c r="G1106" s="561" t="s">
        <v>46</v>
      </c>
      <c r="H1106" s="561" t="s">
        <v>20</v>
      </c>
      <c r="I1106" s="561" t="s">
        <v>3640</v>
      </c>
      <c r="J1106" s="571">
        <v>44186</v>
      </c>
      <c r="K1106" s="561" t="s">
        <v>3797</v>
      </c>
      <c r="L1106" s="570"/>
      <c r="M1106" s="570"/>
      <c r="N1106" s="570"/>
      <c r="O1106" s="570"/>
      <c r="P1106" s="570"/>
      <c r="Q1106" s="570"/>
      <c r="R1106" s="570"/>
      <c r="S1106" s="570"/>
      <c r="T1106" s="570"/>
      <c r="U1106" s="570"/>
      <c r="V1106" s="570"/>
      <c r="W1106" s="570"/>
      <c r="X1106" s="570"/>
      <c r="Y1106" s="570"/>
      <c r="Z1106" s="570"/>
      <c r="AA1106" s="570"/>
      <c r="AB1106" s="570"/>
      <c r="AC1106" s="570"/>
      <c r="AD1106" s="570"/>
      <c r="AE1106" s="570"/>
      <c r="AF1106" s="570"/>
      <c r="AG1106" s="570"/>
      <c r="AH1106" s="570"/>
      <c r="AI1106" s="570"/>
      <c r="AJ1106" s="570"/>
      <c r="AK1106" s="570"/>
      <c r="AL1106" s="570"/>
      <c r="AM1106" s="570"/>
      <c r="AN1106" s="570"/>
      <c r="AO1106" s="570"/>
      <c r="AP1106" s="570"/>
      <c r="AQ1106" s="570"/>
      <c r="AR1106" s="570"/>
      <c r="AS1106" s="570"/>
      <c r="AT1106" s="570"/>
      <c r="AU1106" s="570"/>
    </row>
    <row r="1107" spans="1:47" ht="15.75" customHeight="1">
      <c r="A1107" s="571">
        <v>44896</v>
      </c>
      <c r="B1107" s="572" t="s">
        <v>6620</v>
      </c>
      <c r="C1107" s="561" t="s">
        <v>3793</v>
      </c>
      <c r="D1107" s="561" t="s">
        <v>956</v>
      </c>
      <c r="E1107" s="573">
        <v>244812.62</v>
      </c>
      <c r="F1107" s="561" t="s">
        <v>5242</v>
      </c>
      <c r="G1107" s="561" t="s">
        <v>46</v>
      </c>
      <c r="H1107" s="561" t="s">
        <v>66</v>
      </c>
      <c r="I1107" s="561" t="s">
        <v>6848</v>
      </c>
      <c r="J1107" s="571">
        <v>44340</v>
      </c>
      <c r="K1107" s="561" t="s">
        <v>3817</v>
      </c>
      <c r="L1107" s="570"/>
      <c r="M1107" s="570"/>
      <c r="N1107" s="570"/>
      <c r="O1107" s="570"/>
      <c r="P1107" s="570"/>
      <c r="Q1107" s="570"/>
      <c r="R1107" s="570"/>
      <c r="S1107" s="570"/>
      <c r="T1107" s="570"/>
      <c r="U1107" s="570"/>
      <c r="V1107" s="570"/>
      <c r="W1107" s="570"/>
      <c r="X1107" s="570"/>
      <c r="Y1107" s="570"/>
      <c r="Z1107" s="570"/>
      <c r="AA1107" s="570"/>
      <c r="AB1107" s="570"/>
      <c r="AC1107" s="570"/>
      <c r="AD1107" s="570"/>
      <c r="AE1107" s="570"/>
      <c r="AF1107" s="570"/>
      <c r="AG1107" s="570"/>
      <c r="AH1107" s="570"/>
      <c r="AI1107" s="570"/>
      <c r="AJ1107" s="570"/>
      <c r="AK1107" s="570"/>
      <c r="AL1107" s="570"/>
      <c r="AM1107" s="570"/>
      <c r="AN1107" s="570"/>
      <c r="AO1107" s="570"/>
      <c r="AP1107" s="570"/>
      <c r="AQ1107" s="570"/>
      <c r="AR1107" s="570"/>
      <c r="AS1107" s="570"/>
      <c r="AT1107" s="570"/>
      <c r="AU1107" s="570"/>
    </row>
    <row r="1108" spans="1:47" ht="15.75" customHeight="1">
      <c r="A1108" s="571">
        <v>44543</v>
      </c>
      <c r="B1108" s="572" t="s">
        <v>6852</v>
      </c>
      <c r="C1108" s="561" t="s">
        <v>3793</v>
      </c>
      <c r="D1108" s="561" t="s">
        <v>6343</v>
      </c>
      <c r="E1108" s="573">
        <v>5000</v>
      </c>
      <c r="F1108" s="561" t="s">
        <v>5163</v>
      </c>
      <c r="G1108" s="561" t="s">
        <v>46</v>
      </c>
      <c r="H1108" s="561" t="s">
        <v>20</v>
      </c>
      <c r="I1108" s="561" t="s">
        <v>3855</v>
      </c>
      <c r="J1108" s="571">
        <v>44421</v>
      </c>
      <c r="K1108" s="561" t="s">
        <v>3817</v>
      </c>
      <c r="L1108" s="570"/>
      <c r="M1108" s="570"/>
      <c r="N1108" s="570"/>
      <c r="O1108" s="570"/>
      <c r="P1108" s="570"/>
      <c r="Q1108" s="570"/>
      <c r="R1108" s="570"/>
      <c r="S1108" s="570"/>
      <c r="T1108" s="570"/>
      <c r="U1108" s="570"/>
      <c r="V1108" s="570"/>
      <c r="W1108" s="570"/>
      <c r="X1108" s="570"/>
      <c r="Y1108" s="570"/>
      <c r="Z1108" s="570"/>
      <c r="AA1108" s="570"/>
      <c r="AB1108" s="570"/>
      <c r="AC1108" s="570"/>
      <c r="AD1108" s="570"/>
      <c r="AE1108" s="570"/>
      <c r="AF1108" s="570"/>
      <c r="AG1108" s="570"/>
      <c r="AH1108" s="570"/>
      <c r="AI1108" s="570"/>
      <c r="AJ1108" s="570"/>
      <c r="AK1108" s="570"/>
      <c r="AL1108" s="570"/>
      <c r="AM1108" s="570"/>
      <c r="AN1108" s="570"/>
      <c r="AO1108" s="570"/>
      <c r="AP1108" s="570"/>
      <c r="AQ1108" s="570"/>
      <c r="AR1108" s="570"/>
      <c r="AS1108" s="570"/>
      <c r="AT1108" s="570"/>
      <c r="AU1108" s="570"/>
    </row>
    <row r="1109" spans="1:47" ht="15.75" customHeight="1">
      <c r="A1109" s="571">
        <v>44908</v>
      </c>
      <c r="B1109" s="572" t="s">
        <v>6853</v>
      </c>
      <c r="C1109" s="561" t="s">
        <v>3793</v>
      </c>
      <c r="D1109" s="561" t="s">
        <v>6343</v>
      </c>
      <c r="E1109" s="573">
        <v>25000</v>
      </c>
      <c r="F1109" s="561" t="s">
        <v>5367</v>
      </c>
      <c r="G1109" s="561" t="s">
        <v>19</v>
      </c>
      <c r="H1109" s="561" t="s">
        <v>66</v>
      </c>
      <c r="I1109" s="561" t="s">
        <v>144</v>
      </c>
      <c r="J1109" s="571">
        <v>44655</v>
      </c>
      <c r="K1109" s="561" t="s">
        <v>3810</v>
      </c>
      <c r="L1109" s="570"/>
      <c r="M1109" s="570"/>
      <c r="N1109" s="570"/>
      <c r="O1109" s="570"/>
      <c r="P1109" s="570"/>
      <c r="Q1109" s="570"/>
      <c r="R1109" s="570"/>
      <c r="S1109" s="570"/>
      <c r="T1109" s="570"/>
      <c r="U1109" s="570"/>
      <c r="V1109" s="570"/>
      <c r="W1109" s="570"/>
      <c r="X1109" s="570"/>
      <c r="Y1109" s="570"/>
      <c r="Z1109" s="570"/>
      <c r="AA1109" s="570"/>
      <c r="AB1109" s="570"/>
      <c r="AC1109" s="570"/>
      <c r="AD1109" s="570"/>
      <c r="AE1109" s="570"/>
      <c r="AF1109" s="570"/>
      <c r="AG1109" s="570"/>
      <c r="AH1109" s="570"/>
      <c r="AI1109" s="570"/>
      <c r="AJ1109" s="570"/>
      <c r="AK1109" s="570"/>
      <c r="AL1109" s="570"/>
      <c r="AM1109" s="570"/>
      <c r="AN1109" s="570"/>
      <c r="AO1109" s="570"/>
      <c r="AP1109" s="570"/>
      <c r="AQ1109" s="570"/>
      <c r="AR1109" s="570"/>
      <c r="AS1109" s="570"/>
      <c r="AT1109" s="570"/>
      <c r="AU1109" s="570"/>
    </row>
    <row r="1110" spans="1:47" ht="15.75" customHeight="1">
      <c r="A1110" s="571">
        <v>44908</v>
      </c>
      <c r="B1110" s="572" t="s">
        <v>6538</v>
      </c>
      <c r="C1110" s="561" t="s">
        <v>2929</v>
      </c>
      <c r="D1110" s="561" t="s">
        <v>956</v>
      </c>
      <c r="E1110" s="640">
        <v>70026.759999999995</v>
      </c>
      <c r="F1110" s="564" t="s">
        <v>3561</v>
      </c>
      <c r="G1110" s="561" t="s">
        <v>19</v>
      </c>
      <c r="H1110" s="561" t="s">
        <v>35</v>
      </c>
      <c r="I1110" s="561" t="s">
        <v>2979</v>
      </c>
      <c r="J1110" s="641">
        <v>44267</v>
      </c>
      <c r="K1110" s="561" t="s">
        <v>3803</v>
      </c>
      <c r="L1110" s="570"/>
      <c r="M1110" s="570"/>
      <c r="N1110" s="570"/>
      <c r="O1110" s="570"/>
      <c r="P1110" s="570"/>
      <c r="Q1110" s="570"/>
      <c r="R1110" s="570"/>
      <c r="S1110" s="570"/>
      <c r="T1110" s="570"/>
      <c r="U1110" s="570"/>
      <c r="V1110" s="570"/>
      <c r="W1110" s="570"/>
      <c r="X1110" s="570"/>
      <c r="Y1110" s="570"/>
      <c r="Z1110" s="570"/>
      <c r="AA1110" s="570"/>
      <c r="AB1110" s="570"/>
      <c r="AC1110" s="570"/>
      <c r="AD1110" s="570"/>
      <c r="AE1110" s="570"/>
      <c r="AF1110" s="570"/>
      <c r="AG1110" s="570"/>
      <c r="AH1110" s="570"/>
      <c r="AI1110" s="570"/>
      <c r="AJ1110" s="570"/>
      <c r="AK1110" s="570"/>
      <c r="AL1110" s="570"/>
      <c r="AM1110" s="570"/>
      <c r="AN1110" s="570"/>
      <c r="AO1110" s="570"/>
      <c r="AP1110" s="570"/>
      <c r="AQ1110" s="570"/>
      <c r="AR1110" s="570"/>
      <c r="AS1110" s="570"/>
      <c r="AT1110" s="570"/>
      <c r="AU1110" s="570"/>
    </row>
    <row r="1111" spans="1:47" ht="15.75" customHeight="1">
      <c r="A1111" s="571">
        <v>44908</v>
      </c>
      <c r="B1111" s="572" t="s">
        <v>3154</v>
      </c>
      <c r="C1111" s="561" t="s">
        <v>2929</v>
      </c>
      <c r="D1111" s="561" t="s">
        <v>956</v>
      </c>
      <c r="E1111" s="573">
        <v>0</v>
      </c>
      <c r="F1111" s="563" t="s">
        <v>3561</v>
      </c>
      <c r="G1111" s="561" t="s">
        <v>19</v>
      </c>
      <c r="H1111" s="561" t="s">
        <v>35</v>
      </c>
      <c r="I1111" s="561" t="s">
        <v>2979</v>
      </c>
      <c r="J1111" s="561" t="s">
        <v>3154</v>
      </c>
      <c r="K1111" s="561" t="s">
        <v>6818</v>
      </c>
      <c r="L1111" s="570"/>
      <c r="M1111" s="570"/>
      <c r="N1111" s="570"/>
      <c r="O1111" s="570"/>
      <c r="P1111" s="570"/>
      <c r="Q1111" s="570"/>
      <c r="R1111" s="570"/>
      <c r="S1111" s="570"/>
      <c r="T1111" s="570"/>
      <c r="U1111" s="570"/>
      <c r="V1111" s="570"/>
      <c r="W1111" s="570"/>
      <c r="X1111" s="570"/>
      <c r="Y1111" s="570"/>
      <c r="Z1111" s="570"/>
      <c r="AA1111" s="570"/>
      <c r="AB1111" s="570"/>
      <c r="AC1111" s="570"/>
      <c r="AD1111" s="570"/>
      <c r="AE1111" s="570"/>
      <c r="AF1111" s="570"/>
      <c r="AG1111" s="570"/>
      <c r="AH1111" s="570"/>
      <c r="AI1111" s="570"/>
      <c r="AJ1111" s="570"/>
      <c r="AK1111" s="570"/>
      <c r="AL1111" s="570"/>
      <c r="AM1111" s="570"/>
      <c r="AN1111" s="570"/>
      <c r="AO1111" s="570"/>
      <c r="AP1111" s="570"/>
      <c r="AQ1111" s="570"/>
      <c r="AR1111" s="570"/>
      <c r="AS1111" s="570"/>
      <c r="AT1111" s="570"/>
      <c r="AU1111" s="570"/>
    </row>
    <row r="1112" spans="1:47" ht="15.75" customHeight="1">
      <c r="A1112" s="571">
        <v>44907</v>
      </c>
      <c r="B1112" s="572" t="s">
        <v>6854</v>
      </c>
      <c r="C1112" s="561" t="s">
        <v>2929</v>
      </c>
      <c r="D1112" s="561" t="s">
        <v>956</v>
      </c>
      <c r="E1112" s="573" t="s">
        <v>6855</v>
      </c>
      <c r="F1112" s="561" t="s">
        <v>6856</v>
      </c>
      <c r="G1112" s="561" t="s">
        <v>19</v>
      </c>
      <c r="H1112" s="561" t="s">
        <v>35</v>
      </c>
      <c r="I1112" s="561" t="s">
        <v>2979</v>
      </c>
      <c r="J1112" s="571">
        <v>44733</v>
      </c>
      <c r="K1112" s="561" t="s">
        <v>3810</v>
      </c>
      <c r="L1112" s="570"/>
      <c r="M1112" s="570"/>
      <c r="N1112" s="570"/>
      <c r="O1112" s="570"/>
      <c r="P1112" s="570"/>
      <c r="Q1112" s="570"/>
      <c r="R1112" s="570"/>
      <c r="S1112" s="570"/>
      <c r="T1112" s="570"/>
      <c r="U1112" s="570"/>
      <c r="V1112" s="570"/>
      <c r="W1112" s="570"/>
      <c r="X1112" s="570"/>
      <c r="Y1112" s="570"/>
      <c r="Z1112" s="570"/>
      <c r="AA1112" s="570"/>
      <c r="AB1112" s="570"/>
      <c r="AC1112" s="570"/>
      <c r="AD1112" s="570"/>
      <c r="AE1112" s="570"/>
      <c r="AF1112" s="570"/>
      <c r="AG1112" s="570"/>
      <c r="AH1112" s="570"/>
      <c r="AI1112" s="570"/>
      <c r="AJ1112" s="570"/>
      <c r="AK1112" s="570"/>
      <c r="AL1112" s="570"/>
      <c r="AM1112" s="570"/>
      <c r="AN1112" s="570"/>
      <c r="AO1112" s="570"/>
      <c r="AP1112" s="570"/>
      <c r="AQ1112" s="570"/>
      <c r="AR1112" s="570"/>
      <c r="AS1112" s="570"/>
      <c r="AT1112" s="570"/>
      <c r="AU1112" s="570"/>
    </row>
    <row r="1113" spans="1:47" ht="15.75" customHeight="1">
      <c r="A1113" s="571">
        <v>44890</v>
      </c>
      <c r="B1113" s="572" t="s">
        <v>6763</v>
      </c>
      <c r="C1113" s="561" t="s">
        <v>3793</v>
      </c>
      <c r="D1113" s="561" t="s">
        <v>956</v>
      </c>
      <c r="E1113" s="573">
        <v>251143.6</v>
      </c>
      <c r="F1113" s="561" t="s">
        <v>4757</v>
      </c>
      <c r="G1113" s="561" t="s">
        <v>19</v>
      </c>
      <c r="H1113" s="561" t="s">
        <v>66</v>
      </c>
      <c r="I1113" s="561" t="s">
        <v>316</v>
      </c>
      <c r="J1113" s="571"/>
      <c r="K1113" s="571"/>
      <c r="L1113" s="570"/>
      <c r="M1113" s="570"/>
      <c r="N1113" s="570"/>
      <c r="O1113" s="570"/>
      <c r="P1113" s="570"/>
      <c r="Q1113" s="570"/>
      <c r="R1113" s="570"/>
      <c r="S1113" s="570"/>
      <c r="T1113" s="570"/>
      <c r="U1113" s="570"/>
      <c r="V1113" s="570"/>
      <c r="W1113" s="570"/>
      <c r="X1113" s="570"/>
      <c r="Y1113" s="570"/>
      <c r="Z1113" s="570"/>
      <c r="AA1113" s="570"/>
      <c r="AB1113" s="570"/>
      <c r="AC1113" s="570"/>
      <c r="AD1113" s="570"/>
      <c r="AE1113" s="570"/>
      <c r="AF1113" s="570"/>
      <c r="AG1113" s="570"/>
      <c r="AH1113" s="570"/>
      <c r="AI1113" s="570"/>
      <c r="AJ1113" s="570"/>
      <c r="AK1113" s="570"/>
      <c r="AL1113" s="570"/>
      <c r="AM1113" s="570"/>
      <c r="AN1113" s="570"/>
      <c r="AO1113" s="570"/>
      <c r="AP1113" s="570"/>
      <c r="AQ1113" s="570"/>
      <c r="AR1113" s="570"/>
      <c r="AS1113" s="570"/>
      <c r="AT1113" s="570"/>
      <c r="AU1113" s="570"/>
    </row>
    <row r="1114" spans="1:47" ht="15.75" customHeight="1">
      <c r="A1114" s="595">
        <v>44909</v>
      </c>
      <c r="B1114" s="583" t="s">
        <v>6674</v>
      </c>
      <c r="C1114" s="530" t="s">
        <v>3793</v>
      </c>
      <c r="D1114" s="596" t="s">
        <v>6343</v>
      </c>
      <c r="E1114" s="597">
        <v>10000</v>
      </c>
      <c r="F1114" s="596" t="s">
        <v>3847</v>
      </c>
      <c r="G1114" s="596" t="s">
        <v>19</v>
      </c>
      <c r="H1114" s="596" t="s">
        <v>66</v>
      </c>
      <c r="I1114" s="596" t="s">
        <v>144</v>
      </c>
      <c r="J1114" s="595">
        <v>44609</v>
      </c>
      <c r="K1114" s="530" t="s">
        <v>3813</v>
      </c>
      <c r="L1114" s="570"/>
      <c r="M1114" s="570"/>
      <c r="N1114" s="570"/>
      <c r="O1114" s="570"/>
      <c r="P1114" s="570"/>
      <c r="Q1114" s="570"/>
      <c r="R1114" s="570"/>
      <c r="S1114" s="570"/>
      <c r="T1114" s="570"/>
      <c r="U1114" s="570"/>
      <c r="V1114" s="570"/>
      <c r="W1114" s="570"/>
      <c r="X1114" s="570"/>
      <c r="Y1114" s="570"/>
      <c r="Z1114" s="570"/>
      <c r="AA1114" s="570"/>
      <c r="AB1114" s="570"/>
      <c r="AC1114" s="570"/>
      <c r="AD1114" s="570"/>
      <c r="AE1114" s="570"/>
      <c r="AF1114" s="570"/>
      <c r="AG1114" s="570"/>
      <c r="AH1114" s="570"/>
      <c r="AI1114" s="570"/>
      <c r="AJ1114" s="570"/>
      <c r="AK1114" s="570"/>
      <c r="AL1114" s="570"/>
      <c r="AM1114" s="570"/>
      <c r="AN1114" s="570"/>
      <c r="AO1114" s="570"/>
      <c r="AP1114" s="570"/>
      <c r="AQ1114" s="570"/>
      <c r="AR1114" s="570"/>
      <c r="AS1114" s="570"/>
      <c r="AT1114" s="570"/>
      <c r="AU1114" s="570"/>
    </row>
    <row r="1115" spans="1:47" ht="15.75" customHeight="1">
      <c r="A1115" s="571">
        <v>44911</v>
      </c>
      <c r="B1115" s="572" t="s">
        <v>6446</v>
      </c>
      <c r="C1115" s="530" t="s">
        <v>3793</v>
      </c>
      <c r="D1115" s="561" t="s">
        <v>956</v>
      </c>
      <c r="E1115" s="573">
        <v>115969.72</v>
      </c>
      <c r="F1115" s="561" t="s">
        <v>5341</v>
      </c>
      <c r="G1115" s="561" t="s">
        <v>46</v>
      </c>
      <c r="H1115" s="561" t="s">
        <v>20</v>
      </c>
      <c r="I1115" s="561" t="s">
        <v>6857</v>
      </c>
      <c r="J1115" s="571">
        <v>44203</v>
      </c>
      <c r="K1115" s="561" t="s">
        <v>3803</v>
      </c>
      <c r="L1115" s="570"/>
      <c r="M1115" s="570"/>
      <c r="N1115" s="570"/>
      <c r="O1115" s="570"/>
      <c r="P1115" s="570"/>
      <c r="Q1115" s="570"/>
      <c r="R1115" s="570"/>
      <c r="S1115" s="570"/>
      <c r="T1115" s="570"/>
      <c r="U1115" s="570"/>
      <c r="V1115" s="570"/>
      <c r="W1115" s="570"/>
      <c r="X1115" s="570"/>
      <c r="Y1115" s="570"/>
      <c r="Z1115" s="570"/>
      <c r="AA1115" s="570"/>
      <c r="AB1115" s="570"/>
      <c r="AC1115" s="570"/>
      <c r="AD1115" s="570"/>
      <c r="AE1115" s="570"/>
      <c r="AF1115" s="570"/>
      <c r="AG1115" s="570"/>
      <c r="AH1115" s="570"/>
      <c r="AI1115" s="570"/>
      <c r="AJ1115" s="570"/>
      <c r="AK1115" s="570"/>
      <c r="AL1115" s="570"/>
      <c r="AM1115" s="570"/>
      <c r="AN1115" s="570"/>
      <c r="AO1115" s="570"/>
      <c r="AP1115" s="570"/>
      <c r="AQ1115" s="570"/>
      <c r="AR1115" s="570"/>
      <c r="AS1115" s="570"/>
      <c r="AT1115" s="570"/>
      <c r="AU1115" s="570"/>
    </row>
    <row r="1116" spans="1:47" ht="15.75" customHeight="1">
      <c r="A1116" s="571">
        <v>44911</v>
      </c>
      <c r="B1116" s="572" t="s">
        <v>6858</v>
      </c>
      <c r="C1116" s="561" t="s">
        <v>2929</v>
      </c>
      <c r="D1116" s="561" t="s">
        <v>956</v>
      </c>
      <c r="E1116" s="640">
        <v>6543.8</v>
      </c>
      <c r="F1116" s="561" t="s">
        <v>6859</v>
      </c>
      <c r="G1116" s="561" t="s">
        <v>19</v>
      </c>
      <c r="H1116" s="561" t="s">
        <v>35</v>
      </c>
      <c r="I1116" s="561" t="s">
        <v>199</v>
      </c>
      <c r="J1116" s="571">
        <v>44263</v>
      </c>
      <c r="K1116" s="561" t="s">
        <v>3797</v>
      </c>
      <c r="L1116" s="570"/>
      <c r="M1116" s="570"/>
      <c r="N1116" s="570"/>
      <c r="O1116" s="570"/>
      <c r="P1116" s="570"/>
      <c r="Q1116" s="570"/>
      <c r="R1116" s="570"/>
      <c r="S1116" s="570"/>
      <c r="T1116" s="570"/>
      <c r="U1116" s="570"/>
      <c r="V1116" s="570"/>
      <c r="W1116" s="570"/>
      <c r="X1116" s="570"/>
      <c r="Y1116" s="570"/>
      <c r="Z1116" s="570"/>
      <c r="AA1116" s="570"/>
      <c r="AB1116" s="570"/>
      <c r="AC1116" s="570"/>
      <c r="AD1116" s="570"/>
      <c r="AE1116" s="570"/>
      <c r="AF1116" s="570"/>
      <c r="AG1116" s="570"/>
      <c r="AH1116" s="570"/>
      <c r="AI1116" s="570"/>
      <c r="AJ1116" s="570"/>
      <c r="AK1116" s="570"/>
      <c r="AL1116" s="570"/>
      <c r="AM1116" s="570"/>
      <c r="AN1116" s="570"/>
      <c r="AO1116" s="570"/>
      <c r="AP1116" s="570"/>
      <c r="AQ1116" s="570"/>
      <c r="AR1116" s="570"/>
      <c r="AS1116" s="570"/>
      <c r="AT1116" s="570"/>
      <c r="AU1116" s="570"/>
    </row>
    <row r="1117" spans="1:47" ht="15.75" customHeight="1">
      <c r="A1117" s="571">
        <v>44914</v>
      </c>
      <c r="B1117" s="572">
        <v>6604192</v>
      </c>
      <c r="C1117" s="561" t="s">
        <v>3793</v>
      </c>
      <c r="D1117" s="561" t="s">
        <v>6343</v>
      </c>
      <c r="E1117" s="640">
        <v>3700</v>
      </c>
      <c r="F1117" s="561" t="s">
        <v>4891</v>
      </c>
      <c r="G1117" s="561" t="s">
        <v>19</v>
      </c>
      <c r="H1117" s="561" t="s">
        <v>20</v>
      </c>
      <c r="I1117" s="561" t="s">
        <v>791</v>
      </c>
      <c r="J1117" s="571">
        <v>44460</v>
      </c>
      <c r="K1117" s="561" t="s">
        <v>3810</v>
      </c>
      <c r="L1117" s="570"/>
      <c r="M1117" s="570"/>
      <c r="N1117" s="570"/>
      <c r="O1117" s="570"/>
      <c r="P1117" s="570"/>
      <c r="Q1117" s="570"/>
      <c r="R1117" s="570"/>
      <c r="S1117" s="570"/>
      <c r="T1117" s="570"/>
      <c r="U1117" s="570"/>
      <c r="V1117" s="570"/>
      <c r="W1117" s="570"/>
      <c r="X1117" s="570"/>
      <c r="Y1117" s="570"/>
      <c r="Z1117" s="570"/>
      <c r="AA1117" s="570"/>
      <c r="AB1117" s="570"/>
      <c r="AC1117" s="570"/>
      <c r="AD1117" s="570"/>
      <c r="AE1117" s="570"/>
      <c r="AF1117" s="570"/>
      <c r="AG1117" s="570"/>
      <c r="AH1117" s="570"/>
      <c r="AI1117" s="570"/>
      <c r="AJ1117" s="570"/>
      <c r="AK1117" s="570"/>
      <c r="AL1117" s="570"/>
      <c r="AM1117" s="570"/>
      <c r="AN1117" s="570"/>
      <c r="AO1117" s="570"/>
      <c r="AP1117" s="570"/>
      <c r="AQ1117" s="570"/>
      <c r="AR1117" s="570"/>
      <c r="AS1117" s="570"/>
      <c r="AT1117" s="570"/>
      <c r="AU1117" s="570"/>
    </row>
    <row r="1118" spans="1:47" ht="15.75" customHeight="1">
      <c r="A1118" s="571">
        <v>44917</v>
      </c>
      <c r="B1118" s="572">
        <v>5371919</v>
      </c>
      <c r="C1118" s="561" t="s">
        <v>3793</v>
      </c>
      <c r="D1118" s="561" t="s">
        <v>6343</v>
      </c>
      <c r="E1118" s="640">
        <v>250000</v>
      </c>
      <c r="F1118" s="561" t="s">
        <v>5222</v>
      </c>
      <c r="G1118" s="561" t="s">
        <v>46</v>
      </c>
      <c r="H1118" s="561" t="s">
        <v>20</v>
      </c>
      <c r="I1118" s="561" t="s">
        <v>6331</v>
      </c>
      <c r="J1118" s="571">
        <v>44714</v>
      </c>
      <c r="K1118" s="563" t="s">
        <v>3813</v>
      </c>
      <c r="L1118" s="570"/>
      <c r="M1118" s="570"/>
      <c r="N1118" s="570"/>
      <c r="O1118" s="570"/>
      <c r="P1118" s="570"/>
      <c r="Q1118" s="570"/>
      <c r="R1118" s="570"/>
      <c r="S1118" s="570"/>
      <c r="T1118" s="570"/>
      <c r="U1118" s="570"/>
      <c r="V1118" s="570"/>
      <c r="W1118" s="570"/>
      <c r="X1118" s="570"/>
      <c r="Y1118" s="570"/>
      <c r="Z1118" s="570"/>
      <c r="AA1118" s="570"/>
      <c r="AB1118" s="570"/>
      <c r="AC1118" s="570"/>
      <c r="AD1118" s="570"/>
      <c r="AE1118" s="570"/>
      <c r="AF1118" s="570"/>
      <c r="AG1118" s="570"/>
      <c r="AH1118" s="570"/>
      <c r="AI1118" s="570"/>
      <c r="AJ1118" s="570"/>
      <c r="AK1118" s="570"/>
      <c r="AL1118" s="570"/>
      <c r="AM1118" s="570"/>
      <c r="AN1118" s="570"/>
      <c r="AO1118" s="570"/>
      <c r="AP1118" s="570"/>
      <c r="AQ1118" s="570"/>
      <c r="AR1118" s="570"/>
      <c r="AS1118" s="570"/>
      <c r="AT1118" s="570"/>
      <c r="AU1118" s="570"/>
    </row>
    <row r="1119" spans="1:47" ht="15.75" customHeight="1">
      <c r="A1119" s="571">
        <v>44917</v>
      </c>
      <c r="B1119" s="572">
        <v>3730315</v>
      </c>
      <c r="C1119" s="561" t="s">
        <v>3793</v>
      </c>
      <c r="D1119" s="561" t="s">
        <v>6343</v>
      </c>
      <c r="E1119" s="640">
        <v>150000</v>
      </c>
      <c r="F1119" s="561" t="s">
        <v>5219</v>
      </c>
      <c r="G1119" s="561" t="s">
        <v>46</v>
      </c>
      <c r="H1119" s="561" t="s">
        <v>20</v>
      </c>
      <c r="I1119" s="561" t="s">
        <v>6331</v>
      </c>
      <c r="J1119" s="571">
        <v>44714</v>
      </c>
      <c r="K1119" s="563" t="s">
        <v>3813</v>
      </c>
      <c r="L1119" s="570"/>
      <c r="M1119" s="570"/>
      <c r="N1119" s="570"/>
      <c r="O1119" s="570"/>
      <c r="P1119" s="570"/>
      <c r="Q1119" s="570"/>
      <c r="R1119" s="570"/>
      <c r="S1119" s="570"/>
      <c r="T1119" s="570"/>
      <c r="U1119" s="570"/>
      <c r="V1119" s="570"/>
      <c r="W1119" s="570"/>
      <c r="X1119" s="570"/>
      <c r="Y1119" s="570"/>
      <c r="Z1119" s="570"/>
      <c r="AA1119" s="570"/>
      <c r="AB1119" s="570"/>
      <c r="AC1119" s="570"/>
      <c r="AD1119" s="570"/>
      <c r="AE1119" s="570"/>
      <c r="AF1119" s="570"/>
      <c r="AG1119" s="570"/>
      <c r="AH1119" s="570"/>
      <c r="AI1119" s="570"/>
      <c r="AJ1119" s="570"/>
      <c r="AK1119" s="570"/>
      <c r="AL1119" s="570"/>
      <c r="AM1119" s="570"/>
      <c r="AN1119" s="570"/>
      <c r="AO1119" s="570"/>
      <c r="AP1119" s="570"/>
      <c r="AQ1119" s="570"/>
      <c r="AR1119" s="570"/>
      <c r="AS1119" s="570"/>
      <c r="AT1119" s="570"/>
      <c r="AU1119" s="570"/>
    </row>
    <row r="1120" spans="1:47" ht="15.75" customHeight="1">
      <c r="A1120" s="571">
        <v>44918</v>
      </c>
      <c r="B1120" s="572" t="s">
        <v>6860</v>
      </c>
      <c r="C1120" s="561" t="s">
        <v>3793</v>
      </c>
      <c r="D1120" s="561" t="s">
        <v>6343</v>
      </c>
      <c r="E1120" s="573">
        <v>54000</v>
      </c>
      <c r="F1120" s="561" t="s">
        <v>5398</v>
      </c>
      <c r="G1120" s="561" t="s">
        <v>46</v>
      </c>
      <c r="H1120" s="561" t="s">
        <v>20</v>
      </c>
      <c r="I1120" s="561" t="s">
        <v>56</v>
      </c>
      <c r="J1120" s="571">
        <v>44134</v>
      </c>
      <c r="K1120" s="561" t="s">
        <v>3797</v>
      </c>
      <c r="L1120" s="570"/>
      <c r="M1120" s="570"/>
      <c r="N1120" s="570"/>
      <c r="O1120" s="570"/>
      <c r="P1120" s="570"/>
      <c r="Q1120" s="570"/>
      <c r="R1120" s="570"/>
      <c r="S1120" s="570"/>
      <c r="T1120" s="570"/>
      <c r="U1120" s="570"/>
      <c r="V1120" s="570"/>
      <c r="W1120" s="570"/>
      <c r="X1120" s="570"/>
      <c r="Y1120" s="570"/>
      <c r="Z1120" s="570"/>
      <c r="AA1120" s="570"/>
      <c r="AB1120" s="570"/>
      <c r="AC1120" s="570"/>
      <c r="AD1120" s="570"/>
      <c r="AE1120" s="570"/>
      <c r="AF1120" s="570"/>
      <c r="AG1120" s="570"/>
      <c r="AH1120" s="570"/>
      <c r="AI1120" s="570"/>
      <c r="AJ1120" s="570"/>
      <c r="AK1120" s="570"/>
      <c r="AL1120" s="570"/>
      <c r="AM1120" s="570"/>
      <c r="AN1120" s="570"/>
      <c r="AO1120" s="570"/>
      <c r="AP1120" s="570"/>
      <c r="AQ1120" s="570"/>
      <c r="AR1120" s="570"/>
      <c r="AS1120" s="570"/>
      <c r="AT1120" s="570"/>
      <c r="AU1120" s="570"/>
    </row>
    <row r="1121" spans="1:47" ht="15.75" customHeight="1">
      <c r="A1121" s="571">
        <v>44918</v>
      </c>
      <c r="B1121" s="572" t="s">
        <v>6861</v>
      </c>
      <c r="C1121" s="561" t="s">
        <v>3793</v>
      </c>
      <c r="D1121" s="561" t="s">
        <v>921</v>
      </c>
      <c r="E1121" s="573">
        <v>105535.73</v>
      </c>
      <c r="F1121" s="561" t="s">
        <v>6862</v>
      </c>
      <c r="G1121" s="561" t="s">
        <v>46</v>
      </c>
      <c r="H1121" s="561" t="s">
        <v>20</v>
      </c>
      <c r="I1121" s="561" t="s">
        <v>2810</v>
      </c>
      <c r="J1121" s="594">
        <v>44361</v>
      </c>
      <c r="K1121" s="561" t="s">
        <v>3813</v>
      </c>
      <c r="L1121" s="570"/>
      <c r="M1121" s="570"/>
      <c r="N1121" s="570"/>
      <c r="O1121" s="570"/>
      <c r="P1121" s="570"/>
      <c r="Q1121" s="570"/>
      <c r="R1121" s="570"/>
      <c r="S1121" s="570"/>
      <c r="T1121" s="570"/>
      <c r="U1121" s="570"/>
      <c r="V1121" s="570"/>
      <c r="W1121" s="570"/>
      <c r="X1121" s="570"/>
      <c r="Y1121" s="570"/>
      <c r="Z1121" s="570"/>
      <c r="AA1121" s="570"/>
      <c r="AB1121" s="570"/>
      <c r="AC1121" s="570"/>
      <c r="AD1121" s="570"/>
      <c r="AE1121" s="570"/>
      <c r="AF1121" s="570"/>
      <c r="AG1121" s="570"/>
      <c r="AH1121" s="570"/>
      <c r="AI1121" s="570"/>
      <c r="AJ1121" s="570"/>
      <c r="AK1121" s="570"/>
      <c r="AL1121" s="570"/>
      <c r="AM1121" s="570"/>
      <c r="AN1121" s="570"/>
      <c r="AO1121" s="570"/>
      <c r="AP1121" s="570"/>
      <c r="AQ1121" s="570"/>
      <c r="AR1121" s="570"/>
      <c r="AS1121" s="570"/>
      <c r="AT1121" s="570"/>
      <c r="AU1121" s="570"/>
    </row>
    <row r="1122" spans="1:47" ht="15.75" customHeight="1">
      <c r="A1122" s="571">
        <v>44918</v>
      </c>
      <c r="B1122" s="572" t="s">
        <v>6665</v>
      </c>
      <c r="C1122" s="561" t="s">
        <v>3793</v>
      </c>
      <c r="D1122" s="561" t="s">
        <v>6343</v>
      </c>
      <c r="E1122" s="573">
        <v>30000</v>
      </c>
      <c r="F1122" s="561" t="s">
        <v>1741</v>
      </c>
      <c r="G1122" s="571" t="s">
        <v>19</v>
      </c>
      <c r="H1122" s="571" t="s">
        <v>20</v>
      </c>
      <c r="I1122" s="571" t="s">
        <v>6332</v>
      </c>
      <c r="J1122" s="571">
        <v>44594</v>
      </c>
      <c r="K1122" s="571" t="s">
        <v>3810</v>
      </c>
      <c r="L1122" s="570"/>
      <c r="M1122" s="570"/>
      <c r="N1122" s="570"/>
      <c r="O1122" s="570"/>
      <c r="P1122" s="570"/>
      <c r="Q1122" s="570"/>
      <c r="R1122" s="570"/>
      <c r="S1122" s="570"/>
      <c r="T1122" s="570"/>
      <c r="U1122" s="570"/>
      <c r="V1122" s="570"/>
      <c r="W1122" s="570"/>
      <c r="X1122" s="570"/>
      <c r="Y1122" s="570"/>
      <c r="Z1122" s="570"/>
      <c r="AA1122" s="570"/>
      <c r="AB1122" s="570"/>
      <c r="AC1122" s="570"/>
      <c r="AD1122" s="570"/>
      <c r="AE1122" s="570"/>
      <c r="AF1122" s="570"/>
      <c r="AG1122" s="570"/>
      <c r="AH1122" s="570"/>
      <c r="AI1122" s="570"/>
      <c r="AJ1122" s="570"/>
      <c r="AK1122" s="570"/>
      <c r="AL1122" s="570"/>
      <c r="AM1122" s="570"/>
      <c r="AN1122" s="570"/>
      <c r="AO1122" s="570"/>
      <c r="AP1122" s="570"/>
      <c r="AQ1122" s="570"/>
      <c r="AR1122" s="570"/>
      <c r="AS1122" s="570"/>
      <c r="AT1122" s="570"/>
      <c r="AU1122" s="570"/>
    </row>
    <row r="1123" spans="1:47" ht="15.75" customHeight="1">
      <c r="A1123" s="571">
        <v>44921</v>
      </c>
      <c r="B1123" s="572" t="s">
        <v>6777</v>
      </c>
      <c r="C1123" s="561" t="s">
        <v>3793</v>
      </c>
      <c r="D1123" s="561" t="s">
        <v>6343</v>
      </c>
      <c r="E1123" s="573">
        <v>11000</v>
      </c>
      <c r="F1123" s="561" t="s">
        <v>4731</v>
      </c>
      <c r="G1123" s="561" t="s">
        <v>19</v>
      </c>
      <c r="H1123" s="561" t="s">
        <v>20</v>
      </c>
      <c r="I1123" s="561" t="s">
        <v>3080</v>
      </c>
      <c r="J1123" s="571">
        <v>44393</v>
      </c>
      <c r="K1123" s="561" t="s">
        <v>3797</v>
      </c>
      <c r="L1123" s="570"/>
      <c r="M1123" s="570"/>
      <c r="N1123" s="570"/>
      <c r="O1123" s="570"/>
      <c r="P1123" s="570"/>
      <c r="Q1123" s="570"/>
      <c r="R1123" s="570"/>
      <c r="S1123" s="570"/>
      <c r="T1123" s="570"/>
      <c r="U1123" s="570"/>
      <c r="V1123" s="570"/>
      <c r="W1123" s="570"/>
      <c r="X1123" s="570"/>
      <c r="Y1123" s="570"/>
      <c r="Z1123" s="570"/>
      <c r="AA1123" s="570"/>
      <c r="AB1123" s="570"/>
      <c r="AC1123" s="570"/>
      <c r="AD1123" s="570"/>
      <c r="AE1123" s="570"/>
      <c r="AF1123" s="570"/>
      <c r="AG1123" s="570"/>
      <c r="AH1123" s="570"/>
      <c r="AI1123" s="570"/>
      <c r="AJ1123" s="570"/>
      <c r="AK1123" s="570"/>
      <c r="AL1123" s="570"/>
      <c r="AM1123" s="570"/>
      <c r="AN1123" s="570"/>
      <c r="AO1123" s="570"/>
      <c r="AP1123" s="570"/>
      <c r="AQ1123" s="570"/>
      <c r="AR1123" s="570"/>
      <c r="AS1123" s="570"/>
      <c r="AT1123" s="570"/>
      <c r="AU1123" s="570"/>
    </row>
    <row r="1124" spans="1:47" ht="15.75" customHeight="1">
      <c r="A1124" s="571">
        <v>44921</v>
      </c>
      <c r="B1124" s="572" t="s">
        <v>6863</v>
      </c>
      <c r="C1124" s="561" t="s">
        <v>3793</v>
      </c>
      <c r="D1124" s="561" t="s">
        <v>6343</v>
      </c>
      <c r="E1124" s="573">
        <v>12000</v>
      </c>
      <c r="F1124" s="561" t="s">
        <v>6864</v>
      </c>
      <c r="G1124" s="561" t="s">
        <v>19</v>
      </c>
      <c r="H1124" s="561" t="s">
        <v>20</v>
      </c>
      <c r="I1124" s="561" t="s">
        <v>360</v>
      </c>
      <c r="J1124" s="571">
        <v>44076</v>
      </c>
      <c r="K1124" s="561" t="s">
        <v>3813</v>
      </c>
      <c r="L1124" s="570"/>
      <c r="M1124" s="570"/>
      <c r="N1124" s="570"/>
      <c r="O1124" s="570"/>
      <c r="P1124" s="570"/>
      <c r="Q1124" s="570"/>
      <c r="R1124" s="570"/>
      <c r="S1124" s="570"/>
      <c r="T1124" s="570"/>
      <c r="U1124" s="570"/>
      <c r="V1124" s="570"/>
      <c r="W1124" s="570"/>
      <c r="X1124" s="570"/>
      <c r="Y1124" s="570"/>
      <c r="Z1124" s="570"/>
      <c r="AA1124" s="570"/>
      <c r="AB1124" s="570"/>
      <c r="AC1124" s="570"/>
      <c r="AD1124" s="570"/>
      <c r="AE1124" s="570"/>
      <c r="AF1124" s="570"/>
      <c r="AG1124" s="570"/>
      <c r="AH1124" s="570"/>
      <c r="AI1124" s="570"/>
      <c r="AJ1124" s="570"/>
      <c r="AK1124" s="570"/>
      <c r="AL1124" s="570"/>
      <c r="AM1124" s="570"/>
      <c r="AN1124" s="570"/>
      <c r="AO1124" s="570"/>
      <c r="AP1124" s="570"/>
      <c r="AQ1124" s="570"/>
      <c r="AR1124" s="570"/>
      <c r="AS1124" s="570"/>
      <c r="AT1124" s="570"/>
      <c r="AU1124" s="570"/>
    </row>
    <row r="1125" spans="1:47" ht="15.75" customHeight="1">
      <c r="A1125" s="571">
        <v>44921</v>
      </c>
      <c r="B1125" s="572" t="s">
        <v>6865</v>
      </c>
      <c r="C1125" s="561" t="s">
        <v>3793</v>
      </c>
      <c r="D1125" s="561" t="s">
        <v>6343</v>
      </c>
      <c r="E1125" s="573">
        <v>36019.279999999999</v>
      </c>
      <c r="F1125" s="561" t="s">
        <v>4405</v>
      </c>
      <c r="G1125" s="571" t="s">
        <v>19</v>
      </c>
      <c r="H1125" s="571" t="s">
        <v>66</v>
      </c>
      <c r="I1125" s="571" t="s">
        <v>5026</v>
      </c>
      <c r="J1125" s="571">
        <v>44511</v>
      </c>
      <c r="K1125" s="571" t="s">
        <v>3803</v>
      </c>
      <c r="L1125" s="570"/>
      <c r="M1125" s="570"/>
      <c r="N1125" s="570"/>
      <c r="O1125" s="570"/>
      <c r="P1125" s="570"/>
      <c r="Q1125" s="570"/>
      <c r="R1125" s="570"/>
      <c r="S1125" s="570"/>
      <c r="T1125" s="570"/>
      <c r="U1125" s="570"/>
      <c r="V1125" s="570"/>
      <c r="W1125" s="570"/>
      <c r="X1125" s="570"/>
      <c r="Y1125" s="570"/>
      <c r="Z1125" s="570"/>
      <c r="AA1125" s="570"/>
      <c r="AB1125" s="570"/>
      <c r="AC1125" s="570"/>
      <c r="AD1125" s="570"/>
      <c r="AE1125" s="570"/>
      <c r="AF1125" s="570"/>
      <c r="AG1125" s="570"/>
      <c r="AH1125" s="570"/>
      <c r="AI1125" s="570"/>
      <c r="AJ1125" s="570"/>
      <c r="AK1125" s="570"/>
      <c r="AL1125" s="570"/>
      <c r="AM1125" s="570"/>
      <c r="AN1125" s="570"/>
      <c r="AO1125" s="570"/>
      <c r="AP1125" s="570"/>
      <c r="AQ1125" s="570"/>
      <c r="AR1125" s="570"/>
      <c r="AS1125" s="570"/>
      <c r="AT1125" s="570"/>
      <c r="AU1125" s="570"/>
    </row>
    <row r="1126" spans="1:47" ht="15.75" customHeight="1">
      <c r="A1126" s="571">
        <v>44922</v>
      </c>
      <c r="B1126" s="572" t="s">
        <v>6762</v>
      </c>
      <c r="C1126" s="561" t="s">
        <v>3793</v>
      </c>
      <c r="D1126" s="561" t="s">
        <v>6343</v>
      </c>
      <c r="E1126" s="573">
        <v>10000</v>
      </c>
      <c r="F1126" s="561" t="s">
        <v>1577</v>
      </c>
      <c r="G1126" s="596" t="s">
        <v>19</v>
      </c>
      <c r="H1126" s="596" t="s">
        <v>66</v>
      </c>
      <c r="I1126" s="596" t="s">
        <v>67</v>
      </c>
      <c r="J1126" s="595">
        <v>44568</v>
      </c>
      <c r="K1126" s="530" t="s">
        <v>4473</v>
      </c>
      <c r="L1126" s="570"/>
      <c r="M1126" s="570"/>
      <c r="N1126" s="570"/>
      <c r="O1126" s="570"/>
      <c r="P1126" s="570"/>
      <c r="Q1126" s="570"/>
      <c r="R1126" s="570"/>
      <c r="S1126" s="570"/>
      <c r="T1126" s="570"/>
      <c r="U1126" s="570"/>
      <c r="V1126" s="570"/>
      <c r="W1126" s="570"/>
      <c r="X1126" s="570"/>
      <c r="Y1126" s="570"/>
      <c r="Z1126" s="570"/>
      <c r="AA1126" s="570"/>
      <c r="AB1126" s="570"/>
      <c r="AC1126" s="570"/>
      <c r="AD1126" s="570"/>
      <c r="AE1126" s="570"/>
      <c r="AF1126" s="570"/>
      <c r="AG1126" s="570"/>
      <c r="AH1126" s="570"/>
      <c r="AI1126" s="570"/>
      <c r="AJ1126" s="570"/>
      <c r="AK1126" s="570"/>
      <c r="AL1126" s="570"/>
      <c r="AM1126" s="570"/>
      <c r="AN1126" s="570"/>
      <c r="AO1126" s="570"/>
      <c r="AP1126" s="570"/>
      <c r="AQ1126" s="570"/>
      <c r="AR1126" s="570"/>
      <c r="AS1126" s="570"/>
      <c r="AT1126" s="570"/>
      <c r="AU1126" s="570"/>
    </row>
    <row r="1127" spans="1:47" ht="15.75" customHeight="1">
      <c r="A1127" s="571">
        <v>44922</v>
      </c>
      <c r="B1127" s="572" t="s">
        <v>6822</v>
      </c>
      <c r="C1127" s="561" t="s">
        <v>3793</v>
      </c>
      <c r="D1127" s="561" t="s">
        <v>921</v>
      </c>
      <c r="E1127" s="573">
        <v>44803.44</v>
      </c>
      <c r="F1127" s="561" t="s">
        <v>3845</v>
      </c>
      <c r="G1127" s="561" t="s">
        <v>19</v>
      </c>
      <c r="H1127" s="561" t="s">
        <v>20</v>
      </c>
      <c r="I1127" s="561" t="s">
        <v>21</v>
      </c>
      <c r="J1127" s="642">
        <v>44652</v>
      </c>
      <c r="K1127" s="561" t="s">
        <v>3810</v>
      </c>
      <c r="L1127" s="570"/>
      <c r="M1127" s="570"/>
      <c r="N1127" s="570"/>
      <c r="O1127" s="570"/>
      <c r="P1127" s="570"/>
      <c r="Q1127" s="570"/>
      <c r="R1127" s="570"/>
      <c r="S1127" s="570"/>
      <c r="T1127" s="570"/>
      <c r="U1127" s="570"/>
      <c r="V1127" s="570"/>
      <c r="W1127" s="570"/>
      <c r="X1127" s="570"/>
      <c r="Y1127" s="570"/>
      <c r="Z1127" s="570"/>
      <c r="AA1127" s="570"/>
      <c r="AB1127" s="570"/>
      <c r="AC1127" s="570"/>
      <c r="AD1127" s="570"/>
      <c r="AE1127" s="570"/>
      <c r="AF1127" s="570"/>
      <c r="AG1127" s="570"/>
      <c r="AH1127" s="570"/>
      <c r="AI1127" s="570"/>
      <c r="AJ1127" s="570"/>
      <c r="AK1127" s="570"/>
      <c r="AL1127" s="570"/>
      <c r="AM1127" s="570"/>
      <c r="AN1127" s="570"/>
      <c r="AO1127" s="570"/>
      <c r="AP1127" s="570"/>
      <c r="AQ1127" s="570"/>
      <c r="AR1127" s="570"/>
      <c r="AS1127" s="570"/>
      <c r="AT1127" s="570"/>
      <c r="AU1127" s="570"/>
    </row>
    <row r="1128" spans="1:47" ht="15.75" customHeight="1">
      <c r="A1128" s="571">
        <v>44922</v>
      </c>
      <c r="B1128" s="572" t="s">
        <v>6621</v>
      </c>
      <c r="C1128" s="561" t="s">
        <v>3793</v>
      </c>
      <c r="D1128" s="561" t="s">
        <v>921</v>
      </c>
      <c r="E1128" s="573">
        <v>25323.14</v>
      </c>
      <c r="F1128" s="561" t="s">
        <v>6866</v>
      </c>
      <c r="G1128" s="561" t="s">
        <v>19</v>
      </c>
      <c r="H1128" s="561" t="s">
        <v>20</v>
      </c>
      <c r="I1128" s="561" t="s">
        <v>3080</v>
      </c>
      <c r="J1128" s="571">
        <v>44399</v>
      </c>
      <c r="K1128" s="561" t="s">
        <v>3803</v>
      </c>
      <c r="L1128" s="570"/>
      <c r="M1128" s="570"/>
      <c r="N1128" s="570"/>
      <c r="O1128" s="570"/>
      <c r="P1128" s="570"/>
      <c r="Q1128" s="570"/>
      <c r="R1128" s="570"/>
      <c r="S1128" s="570"/>
      <c r="T1128" s="570"/>
      <c r="U1128" s="570"/>
      <c r="V1128" s="570"/>
      <c r="W1128" s="570"/>
      <c r="X1128" s="570"/>
      <c r="Y1128" s="570"/>
      <c r="Z1128" s="570"/>
      <c r="AA1128" s="570"/>
      <c r="AB1128" s="570"/>
      <c r="AC1128" s="570"/>
      <c r="AD1128" s="570"/>
      <c r="AE1128" s="570"/>
      <c r="AF1128" s="570"/>
      <c r="AG1128" s="570"/>
      <c r="AH1128" s="570"/>
      <c r="AI1128" s="570"/>
      <c r="AJ1128" s="570"/>
      <c r="AK1128" s="570"/>
      <c r="AL1128" s="570"/>
      <c r="AM1128" s="570"/>
      <c r="AN1128" s="570"/>
      <c r="AO1128" s="570"/>
      <c r="AP1128" s="570"/>
      <c r="AQ1128" s="570"/>
      <c r="AR1128" s="570"/>
      <c r="AS1128" s="570"/>
      <c r="AT1128" s="570"/>
      <c r="AU1128" s="570"/>
    </row>
    <row r="1129" spans="1:47" ht="15.75" customHeight="1">
      <c r="A1129" s="571">
        <v>44930</v>
      </c>
      <c r="B1129" s="572" t="s">
        <v>6839</v>
      </c>
      <c r="C1129" s="561" t="s">
        <v>3793</v>
      </c>
      <c r="D1129" s="561" t="s">
        <v>6343</v>
      </c>
      <c r="E1129" s="573">
        <v>5000</v>
      </c>
      <c r="F1129" s="561" t="s">
        <v>401</v>
      </c>
      <c r="G1129" s="561" t="s">
        <v>19</v>
      </c>
      <c r="H1129" s="561" t="s">
        <v>66</v>
      </c>
      <c r="I1129" s="561" t="s">
        <v>67</v>
      </c>
      <c r="J1129" s="595">
        <v>44767</v>
      </c>
      <c r="K1129" s="595" t="s">
        <v>3810</v>
      </c>
      <c r="L1129" s="570"/>
      <c r="M1129" s="570"/>
      <c r="N1129" s="570"/>
      <c r="O1129" s="570"/>
      <c r="P1129" s="570"/>
      <c r="Q1129" s="570"/>
      <c r="R1129" s="570"/>
      <c r="S1129" s="570"/>
      <c r="T1129" s="570"/>
      <c r="U1129" s="570"/>
      <c r="V1129" s="570"/>
      <c r="W1129" s="570"/>
      <c r="X1129" s="570"/>
      <c r="Y1129" s="570"/>
      <c r="Z1129" s="570"/>
      <c r="AA1129" s="570"/>
      <c r="AB1129" s="570"/>
      <c r="AC1129" s="570"/>
      <c r="AD1129" s="570"/>
      <c r="AE1129" s="570"/>
      <c r="AF1129" s="570"/>
      <c r="AG1129" s="570"/>
      <c r="AH1129" s="570"/>
      <c r="AI1129" s="570"/>
      <c r="AJ1129" s="570"/>
      <c r="AK1129" s="570"/>
      <c r="AL1129" s="570"/>
      <c r="AM1129" s="570"/>
      <c r="AN1129" s="570"/>
      <c r="AO1129" s="570"/>
      <c r="AP1129" s="570"/>
      <c r="AQ1129" s="570"/>
      <c r="AR1129" s="570"/>
      <c r="AS1129" s="570"/>
      <c r="AT1129" s="570"/>
      <c r="AU1129" s="570"/>
    </row>
    <row r="1130" spans="1:47" ht="15.75" customHeight="1">
      <c r="A1130" s="571">
        <v>44930</v>
      </c>
      <c r="B1130" s="572" t="s">
        <v>6421</v>
      </c>
      <c r="C1130" s="561" t="s">
        <v>3793</v>
      </c>
      <c r="D1130" s="561" t="s">
        <v>956</v>
      </c>
      <c r="E1130" s="573">
        <v>47562.04</v>
      </c>
      <c r="F1130" s="561" t="s">
        <v>6867</v>
      </c>
      <c r="G1130" s="561" t="s">
        <v>19</v>
      </c>
      <c r="H1130" s="561" t="s">
        <v>20</v>
      </c>
      <c r="I1130" s="561" t="s">
        <v>21</v>
      </c>
      <c r="J1130" s="571">
        <v>44089</v>
      </c>
      <c r="K1130" s="561" t="s">
        <v>3810</v>
      </c>
      <c r="L1130" s="570"/>
      <c r="M1130" s="570"/>
      <c r="N1130" s="570"/>
      <c r="O1130" s="570"/>
      <c r="P1130" s="570"/>
      <c r="Q1130" s="570"/>
      <c r="R1130" s="570"/>
      <c r="S1130" s="570"/>
      <c r="T1130" s="570"/>
      <c r="U1130" s="570"/>
      <c r="V1130" s="570"/>
      <c r="W1130" s="570"/>
      <c r="X1130" s="570"/>
      <c r="Y1130" s="570"/>
      <c r="Z1130" s="570"/>
      <c r="AA1130" s="570"/>
      <c r="AB1130" s="570"/>
      <c r="AC1130" s="570"/>
      <c r="AD1130" s="570"/>
      <c r="AE1130" s="570"/>
      <c r="AF1130" s="570"/>
      <c r="AG1130" s="570"/>
      <c r="AH1130" s="570"/>
      <c r="AI1130" s="570"/>
      <c r="AJ1130" s="570"/>
      <c r="AK1130" s="570"/>
      <c r="AL1130" s="570"/>
      <c r="AM1130" s="570"/>
      <c r="AN1130" s="570"/>
      <c r="AO1130" s="570"/>
      <c r="AP1130" s="570"/>
      <c r="AQ1130" s="570"/>
      <c r="AR1130" s="570"/>
      <c r="AS1130" s="570"/>
      <c r="AT1130" s="570"/>
      <c r="AU1130" s="570"/>
    </row>
    <row r="1131" spans="1:47" ht="15.75" customHeight="1">
      <c r="A1131" s="571">
        <v>44932</v>
      </c>
      <c r="B1131" s="572" t="s">
        <v>6868</v>
      </c>
      <c r="C1131" s="561" t="s">
        <v>3793</v>
      </c>
      <c r="D1131" s="561" t="s">
        <v>6343</v>
      </c>
      <c r="E1131" s="573">
        <v>39735.11</v>
      </c>
      <c r="F1131" s="596" t="s">
        <v>6692</v>
      </c>
      <c r="G1131" s="596" t="s">
        <v>19</v>
      </c>
      <c r="H1131" s="596" t="s">
        <v>66</v>
      </c>
      <c r="I1131" s="596" t="s">
        <v>144</v>
      </c>
      <c r="J1131" s="595">
        <v>44645</v>
      </c>
      <c r="K1131" s="530" t="s">
        <v>3803</v>
      </c>
      <c r="L1131" s="570"/>
      <c r="M1131" s="570"/>
      <c r="N1131" s="570"/>
      <c r="O1131" s="570"/>
      <c r="P1131" s="570"/>
      <c r="Q1131" s="570"/>
      <c r="R1131" s="570"/>
      <c r="S1131" s="570"/>
      <c r="T1131" s="570"/>
      <c r="U1131" s="570"/>
      <c r="V1131" s="570"/>
      <c r="W1131" s="570"/>
      <c r="X1131" s="570"/>
      <c r="Y1131" s="570"/>
      <c r="Z1131" s="570"/>
      <c r="AA1131" s="570"/>
      <c r="AB1131" s="570"/>
      <c r="AC1131" s="570"/>
      <c r="AD1131" s="570"/>
      <c r="AE1131" s="570"/>
      <c r="AF1131" s="570"/>
      <c r="AG1131" s="570"/>
      <c r="AH1131" s="570"/>
      <c r="AI1131" s="570"/>
      <c r="AJ1131" s="570"/>
      <c r="AK1131" s="570"/>
      <c r="AL1131" s="570"/>
      <c r="AM1131" s="570"/>
      <c r="AN1131" s="570"/>
      <c r="AO1131" s="570"/>
      <c r="AP1131" s="570"/>
      <c r="AQ1131" s="570"/>
      <c r="AR1131" s="570"/>
      <c r="AS1131" s="570"/>
      <c r="AT1131" s="570"/>
      <c r="AU1131" s="570"/>
    </row>
    <row r="1132" spans="1:47" ht="15.75" customHeight="1">
      <c r="A1132" s="571">
        <v>44565</v>
      </c>
      <c r="B1132" s="572" t="s">
        <v>6777</v>
      </c>
      <c r="C1132" s="561" t="s">
        <v>3793</v>
      </c>
      <c r="D1132" s="561" t="s">
        <v>6343</v>
      </c>
      <c r="E1132" s="573">
        <v>18000</v>
      </c>
      <c r="F1132" s="561" t="s">
        <v>4731</v>
      </c>
      <c r="G1132" s="561" t="s">
        <v>19</v>
      </c>
      <c r="H1132" s="561" t="s">
        <v>20</v>
      </c>
      <c r="I1132" s="561" t="s">
        <v>3080</v>
      </c>
      <c r="J1132" s="571">
        <v>44393</v>
      </c>
      <c r="K1132" s="561" t="s">
        <v>3797</v>
      </c>
      <c r="L1132" s="570"/>
      <c r="M1132" s="570"/>
      <c r="N1132" s="570"/>
      <c r="O1132" s="570"/>
      <c r="P1132" s="570"/>
      <c r="Q1132" s="570"/>
      <c r="R1132" s="570"/>
      <c r="S1132" s="570"/>
      <c r="T1132" s="570"/>
      <c r="U1132" s="570"/>
      <c r="V1132" s="570"/>
      <c r="W1132" s="570"/>
      <c r="X1132" s="570"/>
      <c r="Y1132" s="570"/>
      <c r="Z1132" s="570"/>
      <c r="AA1132" s="570"/>
      <c r="AB1132" s="570"/>
      <c r="AC1132" s="570"/>
      <c r="AD1132" s="570"/>
      <c r="AE1132" s="570"/>
      <c r="AF1132" s="570"/>
      <c r="AG1132" s="570"/>
      <c r="AH1132" s="570"/>
      <c r="AI1132" s="570"/>
      <c r="AJ1132" s="570"/>
      <c r="AK1132" s="570"/>
      <c r="AL1132" s="570"/>
      <c r="AM1132" s="570"/>
      <c r="AN1132" s="570"/>
      <c r="AO1132" s="570"/>
      <c r="AP1132" s="570"/>
      <c r="AQ1132" s="570"/>
      <c r="AR1132" s="570"/>
      <c r="AS1132" s="570"/>
      <c r="AT1132" s="570"/>
      <c r="AU1132" s="570"/>
    </row>
    <row r="1133" spans="1:47" ht="15.75" customHeight="1">
      <c r="A1133" s="571">
        <v>44935</v>
      </c>
      <c r="B1133" s="572" t="s">
        <v>2067</v>
      </c>
      <c r="C1133" s="561" t="s">
        <v>29</v>
      </c>
      <c r="D1133" s="561" t="s">
        <v>6343</v>
      </c>
      <c r="E1133" s="573">
        <v>51409.52</v>
      </c>
      <c r="F1133" s="561" t="s">
        <v>2066</v>
      </c>
      <c r="G1133" s="561" t="s">
        <v>19</v>
      </c>
      <c r="H1133" s="561" t="s">
        <v>66</v>
      </c>
      <c r="I1133" s="561" t="s">
        <v>265</v>
      </c>
      <c r="J1133" s="571">
        <v>44951</v>
      </c>
      <c r="K1133" s="561" t="s">
        <v>3810</v>
      </c>
      <c r="L1133" s="570"/>
      <c r="M1133" s="570"/>
      <c r="N1133" s="570"/>
      <c r="O1133" s="570"/>
      <c r="P1133" s="570"/>
      <c r="Q1133" s="570"/>
      <c r="R1133" s="570"/>
      <c r="S1133" s="570"/>
      <c r="T1133" s="570"/>
      <c r="U1133" s="570"/>
      <c r="V1133" s="570"/>
      <c r="W1133" s="570"/>
      <c r="X1133" s="570"/>
      <c r="Y1133" s="570"/>
      <c r="Z1133" s="570"/>
      <c r="AA1133" s="570"/>
      <c r="AB1133" s="570"/>
      <c r="AC1133" s="570"/>
      <c r="AD1133" s="570"/>
      <c r="AE1133" s="570"/>
      <c r="AF1133" s="570"/>
      <c r="AG1133" s="570"/>
      <c r="AH1133" s="570"/>
      <c r="AI1133" s="570"/>
      <c r="AJ1133" s="570"/>
      <c r="AK1133" s="570"/>
      <c r="AL1133" s="570"/>
      <c r="AM1133" s="570"/>
      <c r="AN1133" s="570"/>
      <c r="AO1133" s="570"/>
      <c r="AP1133" s="570"/>
      <c r="AQ1133" s="570"/>
      <c r="AR1133" s="570"/>
      <c r="AS1133" s="570"/>
      <c r="AT1133" s="570"/>
      <c r="AU1133" s="570"/>
    </row>
    <row r="1134" spans="1:47" ht="15.75" customHeight="1">
      <c r="A1134" s="571"/>
      <c r="B1134" s="572" t="s">
        <v>795</v>
      </c>
      <c r="C1134" s="561" t="s">
        <v>29</v>
      </c>
      <c r="D1134" s="561" t="s">
        <v>6343</v>
      </c>
      <c r="E1134" s="573">
        <v>9000</v>
      </c>
      <c r="F1134" s="561" t="s">
        <v>6869</v>
      </c>
      <c r="G1134" s="561" t="s">
        <v>19</v>
      </c>
      <c r="H1134" s="561" t="s">
        <v>20</v>
      </c>
      <c r="I1134" s="561" t="s">
        <v>21</v>
      </c>
      <c r="J1134" s="571">
        <v>44888</v>
      </c>
      <c r="K1134" s="561" t="s">
        <v>3810</v>
      </c>
      <c r="L1134" s="570"/>
      <c r="M1134" s="570"/>
      <c r="N1134" s="570"/>
      <c r="O1134" s="570"/>
      <c r="P1134" s="570"/>
      <c r="Q1134" s="570"/>
      <c r="R1134" s="570"/>
      <c r="S1134" s="570"/>
      <c r="T1134" s="570"/>
      <c r="U1134" s="570"/>
      <c r="V1134" s="570"/>
      <c r="W1134" s="570"/>
      <c r="X1134" s="570"/>
      <c r="Y1134" s="570"/>
      <c r="Z1134" s="570"/>
      <c r="AA1134" s="570"/>
      <c r="AB1134" s="570"/>
      <c r="AC1134" s="570"/>
      <c r="AD1134" s="570"/>
      <c r="AE1134" s="570"/>
      <c r="AF1134" s="570"/>
      <c r="AG1134" s="570"/>
      <c r="AH1134" s="570"/>
      <c r="AI1134" s="570"/>
      <c r="AJ1134" s="570"/>
      <c r="AK1134" s="570"/>
      <c r="AL1134" s="570"/>
      <c r="AM1134" s="570"/>
      <c r="AN1134" s="570"/>
      <c r="AO1134" s="570"/>
      <c r="AP1134" s="570"/>
      <c r="AQ1134" s="570"/>
      <c r="AR1134" s="570"/>
      <c r="AS1134" s="570"/>
      <c r="AT1134" s="570"/>
      <c r="AU1134" s="570"/>
    </row>
    <row r="1135" spans="1:47" ht="15.75" customHeight="1">
      <c r="A1135" s="571">
        <v>44565</v>
      </c>
      <c r="B1135" s="572" t="s">
        <v>6777</v>
      </c>
      <c r="C1135" s="561" t="s">
        <v>3793</v>
      </c>
      <c r="D1135" s="561" t="s">
        <v>6343</v>
      </c>
      <c r="E1135" s="573">
        <v>9500</v>
      </c>
      <c r="F1135" s="561" t="s">
        <v>4731</v>
      </c>
      <c r="G1135" s="561" t="s">
        <v>19</v>
      </c>
      <c r="H1135" s="561" t="s">
        <v>20</v>
      </c>
      <c r="I1135" s="561" t="s">
        <v>3080</v>
      </c>
      <c r="J1135" s="571">
        <v>44393</v>
      </c>
      <c r="K1135" s="561" t="s">
        <v>3797</v>
      </c>
      <c r="L1135" s="570"/>
      <c r="M1135" s="570"/>
      <c r="N1135" s="570"/>
      <c r="O1135" s="570"/>
      <c r="P1135" s="570"/>
      <c r="Q1135" s="570"/>
      <c r="R1135" s="570"/>
      <c r="S1135" s="570"/>
      <c r="T1135" s="570"/>
      <c r="U1135" s="570"/>
      <c r="V1135" s="570"/>
      <c r="W1135" s="570"/>
      <c r="X1135" s="570"/>
      <c r="Y1135" s="570"/>
      <c r="Z1135" s="570"/>
      <c r="AA1135" s="570"/>
      <c r="AB1135" s="570"/>
      <c r="AC1135" s="570"/>
      <c r="AD1135" s="570"/>
      <c r="AE1135" s="570"/>
      <c r="AF1135" s="570"/>
      <c r="AG1135" s="570"/>
      <c r="AH1135" s="570"/>
      <c r="AI1135" s="570"/>
      <c r="AJ1135" s="570"/>
      <c r="AK1135" s="570"/>
      <c r="AL1135" s="570"/>
      <c r="AM1135" s="570"/>
      <c r="AN1135" s="570"/>
      <c r="AO1135" s="570"/>
      <c r="AP1135" s="570"/>
      <c r="AQ1135" s="570"/>
      <c r="AR1135" s="570"/>
      <c r="AS1135" s="570"/>
      <c r="AT1135" s="570"/>
      <c r="AU1135" s="570"/>
    </row>
    <row r="1136" spans="1:47" ht="15.75" customHeight="1">
      <c r="A1136" s="571">
        <v>44937</v>
      </c>
      <c r="B1136" s="572" t="s">
        <v>3629</v>
      </c>
      <c r="C1136" s="561" t="s">
        <v>3613</v>
      </c>
      <c r="D1136" s="561" t="s">
        <v>6343</v>
      </c>
      <c r="E1136" s="573">
        <v>10000</v>
      </c>
      <c r="F1136" s="561" t="s">
        <v>6870</v>
      </c>
      <c r="G1136" s="561" t="s">
        <v>19</v>
      </c>
      <c r="H1136" s="561" t="s">
        <v>20</v>
      </c>
      <c r="I1136" s="561" t="s">
        <v>3080</v>
      </c>
      <c r="J1136" s="571">
        <v>43934</v>
      </c>
      <c r="K1136" s="561" t="s">
        <v>3797</v>
      </c>
      <c r="L1136" s="570"/>
      <c r="M1136" s="570"/>
      <c r="N1136" s="570"/>
      <c r="O1136" s="570"/>
      <c r="P1136" s="570"/>
      <c r="Q1136" s="570"/>
      <c r="R1136" s="570"/>
      <c r="S1136" s="570"/>
      <c r="T1136" s="570"/>
      <c r="U1136" s="570"/>
      <c r="V1136" s="570"/>
      <c r="W1136" s="570"/>
      <c r="X1136" s="570"/>
      <c r="Y1136" s="570"/>
      <c r="Z1136" s="570"/>
      <c r="AA1136" s="570"/>
      <c r="AB1136" s="570"/>
      <c r="AC1136" s="570"/>
      <c r="AD1136" s="570"/>
      <c r="AE1136" s="570"/>
      <c r="AF1136" s="570"/>
      <c r="AG1136" s="570"/>
      <c r="AH1136" s="570"/>
      <c r="AI1136" s="570"/>
      <c r="AJ1136" s="570"/>
      <c r="AK1136" s="570"/>
      <c r="AL1136" s="570"/>
      <c r="AM1136" s="570"/>
      <c r="AN1136" s="570"/>
      <c r="AO1136" s="570"/>
      <c r="AP1136" s="570"/>
      <c r="AQ1136" s="570"/>
      <c r="AR1136" s="570"/>
      <c r="AS1136" s="570"/>
      <c r="AT1136" s="570"/>
      <c r="AU1136" s="570"/>
    </row>
    <row r="1137" spans="1:47" ht="15.75" customHeight="1">
      <c r="A1137" s="571">
        <v>44935</v>
      </c>
      <c r="B1137" s="572" t="s">
        <v>6871</v>
      </c>
      <c r="C1137" s="561" t="s">
        <v>3793</v>
      </c>
      <c r="D1137" s="561" t="s">
        <v>921</v>
      </c>
      <c r="E1137" s="573" t="s">
        <v>6872</v>
      </c>
      <c r="F1137" s="565" t="s">
        <v>5353</v>
      </c>
      <c r="G1137" s="561" t="s">
        <v>19</v>
      </c>
      <c r="H1137" s="561" t="s">
        <v>66</v>
      </c>
      <c r="I1137" s="561" t="s">
        <v>316</v>
      </c>
      <c r="J1137" s="561" t="s">
        <v>2900</v>
      </c>
      <c r="K1137" s="561" t="s">
        <v>3803</v>
      </c>
      <c r="L1137" s="570"/>
      <c r="M1137" s="570"/>
      <c r="N1137" s="570"/>
      <c r="O1137" s="570"/>
      <c r="P1137" s="570"/>
      <c r="Q1137" s="570"/>
      <c r="R1137" s="570"/>
      <c r="S1137" s="570"/>
      <c r="T1137" s="570"/>
      <c r="U1137" s="570"/>
      <c r="V1137" s="570"/>
      <c r="W1137" s="570"/>
      <c r="X1137" s="570"/>
      <c r="Y1137" s="570"/>
      <c r="Z1137" s="570"/>
      <c r="AA1137" s="570"/>
      <c r="AB1137" s="570"/>
      <c r="AC1137" s="570"/>
      <c r="AD1137" s="570"/>
      <c r="AE1137" s="570"/>
      <c r="AF1137" s="570"/>
      <c r="AG1137" s="570"/>
      <c r="AH1137" s="570"/>
      <c r="AI1137" s="570"/>
      <c r="AJ1137" s="570"/>
      <c r="AK1137" s="570"/>
      <c r="AL1137" s="570"/>
      <c r="AM1137" s="570"/>
      <c r="AN1137" s="570"/>
      <c r="AO1137" s="570"/>
      <c r="AP1137" s="570"/>
      <c r="AQ1137" s="570"/>
      <c r="AR1137" s="570"/>
      <c r="AS1137" s="570"/>
      <c r="AT1137" s="570"/>
      <c r="AU1137" s="570"/>
    </row>
    <row r="1138" spans="1:47" ht="15.75" customHeight="1">
      <c r="A1138" s="571">
        <v>44949</v>
      </c>
      <c r="B1138" s="572" t="s">
        <v>6762</v>
      </c>
      <c r="C1138" s="561" t="s">
        <v>3793</v>
      </c>
      <c r="D1138" s="561" t="s">
        <v>921</v>
      </c>
      <c r="E1138" s="573">
        <v>4119326.59</v>
      </c>
      <c r="F1138" s="561" t="s">
        <v>1577</v>
      </c>
      <c r="G1138" s="596" t="s">
        <v>19</v>
      </c>
      <c r="H1138" s="596" t="s">
        <v>66</v>
      </c>
      <c r="I1138" s="596" t="s">
        <v>67</v>
      </c>
      <c r="J1138" s="595">
        <v>44568</v>
      </c>
      <c r="K1138" s="530" t="s">
        <v>4473</v>
      </c>
      <c r="L1138" s="570"/>
      <c r="M1138" s="570"/>
      <c r="N1138" s="570"/>
      <c r="O1138" s="570"/>
      <c r="P1138" s="570"/>
      <c r="Q1138" s="570"/>
      <c r="R1138" s="570"/>
      <c r="S1138" s="570"/>
      <c r="T1138" s="570"/>
      <c r="U1138" s="570"/>
      <c r="V1138" s="570"/>
      <c r="W1138" s="570"/>
      <c r="X1138" s="570"/>
      <c r="Y1138" s="570"/>
      <c r="Z1138" s="570"/>
      <c r="AA1138" s="570"/>
      <c r="AB1138" s="570"/>
      <c r="AC1138" s="570"/>
      <c r="AD1138" s="570"/>
      <c r="AE1138" s="570"/>
      <c r="AF1138" s="570"/>
      <c r="AG1138" s="570"/>
      <c r="AH1138" s="570"/>
      <c r="AI1138" s="570"/>
      <c r="AJ1138" s="570"/>
      <c r="AK1138" s="570"/>
      <c r="AL1138" s="570"/>
      <c r="AM1138" s="570"/>
      <c r="AN1138" s="570"/>
      <c r="AO1138" s="570"/>
      <c r="AP1138" s="570"/>
      <c r="AQ1138" s="570"/>
      <c r="AR1138" s="570"/>
      <c r="AS1138" s="570"/>
      <c r="AT1138" s="570"/>
      <c r="AU1138" s="570"/>
    </row>
    <row r="1139" spans="1:47" ht="15.75" customHeight="1">
      <c r="A1139" s="571">
        <v>44931</v>
      </c>
      <c r="B1139" s="643" t="s">
        <v>6444</v>
      </c>
      <c r="C1139" s="561" t="s">
        <v>3793</v>
      </c>
      <c r="D1139" s="561" t="s">
        <v>921</v>
      </c>
      <c r="E1139" s="573">
        <v>97046.39</v>
      </c>
      <c r="F1139" s="564" t="s">
        <v>5095</v>
      </c>
      <c r="G1139" s="561" t="s">
        <v>46</v>
      </c>
      <c r="H1139" s="561" t="s">
        <v>20</v>
      </c>
      <c r="I1139" s="561" t="s">
        <v>3870</v>
      </c>
      <c r="J1139" s="571">
        <v>44180</v>
      </c>
      <c r="K1139" s="561" t="s">
        <v>3803</v>
      </c>
      <c r="L1139" s="570"/>
      <c r="M1139" s="570"/>
      <c r="N1139" s="570"/>
      <c r="O1139" s="570"/>
      <c r="P1139" s="570"/>
      <c r="Q1139" s="570"/>
      <c r="R1139" s="570"/>
      <c r="S1139" s="570"/>
      <c r="T1139" s="570"/>
      <c r="U1139" s="570"/>
      <c r="V1139" s="570"/>
      <c r="W1139" s="570"/>
      <c r="X1139" s="570"/>
      <c r="Y1139" s="570"/>
      <c r="Z1139" s="570"/>
      <c r="AA1139" s="570"/>
      <c r="AB1139" s="570"/>
      <c r="AC1139" s="570"/>
      <c r="AD1139" s="570"/>
      <c r="AE1139" s="570"/>
      <c r="AF1139" s="570"/>
      <c r="AG1139" s="570"/>
      <c r="AH1139" s="570"/>
      <c r="AI1139" s="570"/>
      <c r="AJ1139" s="570"/>
      <c r="AK1139" s="570"/>
      <c r="AL1139" s="570"/>
      <c r="AM1139" s="570"/>
      <c r="AN1139" s="570"/>
      <c r="AO1139" s="570"/>
      <c r="AP1139" s="570"/>
      <c r="AQ1139" s="570"/>
      <c r="AR1139" s="570"/>
      <c r="AS1139" s="570"/>
      <c r="AT1139" s="570"/>
      <c r="AU1139" s="570"/>
    </row>
    <row r="1140" spans="1:47" ht="15.75" customHeight="1">
      <c r="A1140" s="571">
        <v>44938</v>
      </c>
      <c r="B1140" s="572" t="s">
        <v>1130</v>
      </c>
      <c r="C1140" s="561" t="s">
        <v>29</v>
      </c>
      <c r="D1140" s="561" t="s">
        <v>6343</v>
      </c>
      <c r="E1140" s="573">
        <v>13092.93</v>
      </c>
      <c r="F1140" s="561" t="s">
        <v>6873</v>
      </c>
      <c r="G1140" s="561" t="s">
        <v>19</v>
      </c>
      <c r="H1140" s="561" t="s">
        <v>66</v>
      </c>
      <c r="I1140" s="561" t="s">
        <v>316</v>
      </c>
      <c r="J1140" s="642">
        <v>44951</v>
      </c>
      <c r="K1140" s="561" t="s">
        <v>3810</v>
      </c>
      <c r="L1140" s="570"/>
      <c r="M1140" s="570"/>
      <c r="N1140" s="570"/>
      <c r="O1140" s="570"/>
      <c r="P1140" s="570"/>
      <c r="Q1140" s="570"/>
      <c r="R1140" s="570"/>
      <c r="S1140" s="570"/>
      <c r="T1140" s="570"/>
      <c r="U1140" s="570"/>
      <c r="V1140" s="570"/>
      <c r="W1140" s="570"/>
      <c r="X1140" s="570"/>
      <c r="Y1140" s="570"/>
      <c r="Z1140" s="570"/>
      <c r="AA1140" s="570"/>
      <c r="AB1140" s="570"/>
      <c r="AC1140" s="570"/>
      <c r="AD1140" s="570"/>
      <c r="AE1140" s="570"/>
      <c r="AF1140" s="570"/>
      <c r="AG1140" s="570"/>
      <c r="AH1140" s="570"/>
      <c r="AI1140" s="570"/>
      <c r="AJ1140" s="570"/>
      <c r="AK1140" s="570"/>
      <c r="AL1140" s="570"/>
      <c r="AM1140" s="570"/>
      <c r="AN1140" s="570"/>
      <c r="AO1140" s="570"/>
      <c r="AP1140" s="570"/>
      <c r="AQ1140" s="570"/>
      <c r="AR1140" s="570"/>
      <c r="AS1140" s="570"/>
      <c r="AT1140" s="570"/>
      <c r="AU1140" s="570"/>
    </row>
    <row r="1141" spans="1:47" ht="15.75" customHeight="1">
      <c r="A1141" s="571">
        <v>44939</v>
      </c>
      <c r="B1141" s="572" t="s">
        <v>6839</v>
      </c>
      <c r="C1141" s="561" t="s">
        <v>3793</v>
      </c>
      <c r="D1141" s="561" t="s">
        <v>6343</v>
      </c>
      <c r="E1141" s="573">
        <v>1000</v>
      </c>
      <c r="F1141" s="561" t="s">
        <v>401</v>
      </c>
      <c r="G1141" s="561" t="s">
        <v>19</v>
      </c>
      <c r="H1141" s="561" t="s">
        <v>66</v>
      </c>
      <c r="I1141" s="561" t="s">
        <v>67</v>
      </c>
      <c r="J1141" s="642">
        <v>44767</v>
      </c>
      <c r="K1141" s="561" t="s">
        <v>3810</v>
      </c>
      <c r="L1141" s="570"/>
      <c r="M1141" s="570"/>
      <c r="N1141" s="570"/>
      <c r="O1141" s="570"/>
      <c r="P1141" s="570"/>
      <c r="Q1141" s="570"/>
      <c r="R1141" s="570"/>
      <c r="S1141" s="570"/>
      <c r="T1141" s="570"/>
      <c r="U1141" s="570"/>
      <c r="V1141" s="570"/>
      <c r="W1141" s="570"/>
      <c r="X1141" s="570"/>
      <c r="Y1141" s="570"/>
      <c r="Z1141" s="570"/>
      <c r="AA1141" s="570"/>
      <c r="AB1141" s="570"/>
      <c r="AC1141" s="570"/>
      <c r="AD1141" s="570"/>
      <c r="AE1141" s="570"/>
      <c r="AF1141" s="570"/>
      <c r="AG1141" s="570"/>
      <c r="AH1141" s="570"/>
      <c r="AI1141" s="570"/>
      <c r="AJ1141" s="570"/>
      <c r="AK1141" s="570"/>
      <c r="AL1141" s="570"/>
      <c r="AM1141" s="570"/>
      <c r="AN1141" s="570"/>
      <c r="AO1141" s="570"/>
      <c r="AP1141" s="570"/>
      <c r="AQ1141" s="570"/>
      <c r="AR1141" s="570"/>
      <c r="AS1141" s="570"/>
      <c r="AT1141" s="570"/>
      <c r="AU1141" s="570"/>
    </row>
    <row r="1142" spans="1:47" ht="15.75" customHeight="1">
      <c r="A1142" s="589"/>
      <c r="B1142" s="580"/>
      <c r="C1142" s="587"/>
      <c r="D1142" s="587"/>
      <c r="E1142" s="579"/>
      <c r="F1142" s="589"/>
      <c r="G1142" s="589"/>
      <c r="H1142" s="589"/>
      <c r="I1142" s="589"/>
      <c r="J1142" s="589"/>
      <c r="K1142" s="589"/>
      <c r="L1142" s="570"/>
      <c r="M1142" s="570"/>
      <c r="N1142" s="570"/>
      <c r="O1142" s="570"/>
      <c r="P1142" s="570"/>
      <c r="Q1142" s="570"/>
      <c r="R1142" s="570"/>
      <c r="S1142" s="570"/>
      <c r="T1142" s="570"/>
      <c r="U1142" s="570"/>
      <c r="V1142" s="570"/>
      <c r="W1142" s="570"/>
      <c r="X1142" s="570"/>
      <c r="Y1142" s="570"/>
      <c r="Z1142" s="570"/>
      <c r="AA1142" s="570"/>
      <c r="AB1142" s="570"/>
      <c r="AC1142" s="570"/>
      <c r="AD1142" s="570"/>
      <c r="AE1142" s="570"/>
      <c r="AF1142" s="570"/>
      <c r="AG1142" s="570"/>
      <c r="AH1142" s="570"/>
      <c r="AI1142" s="570"/>
      <c r="AJ1142" s="570"/>
      <c r="AK1142" s="570"/>
      <c r="AL1142" s="570"/>
      <c r="AM1142" s="570"/>
      <c r="AN1142" s="570"/>
      <c r="AO1142" s="570"/>
      <c r="AP1142" s="570"/>
      <c r="AQ1142" s="570"/>
      <c r="AR1142" s="570"/>
      <c r="AS1142" s="570"/>
      <c r="AT1142" s="570"/>
      <c r="AU1142" s="570"/>
    </row>
    <row r="1143" spans="1:47" ht="15.75" customHeight="1">
      <c r="A1143" s="589"/>
      <c r="B1143" s="580"/>
      <c r="C1143" s="587"/>
      <c r="D1143" s="587"/>
      <c r="E1143" s="579"/>
      <c r="F1143" s="589"/>
      <c r="G1143" s="589"/>
      <c r="H1143" s="589"/>
      <c r="I1143" s="589"/>
      <c r="J1143" s="589"/>
      <c r="K1143" s="589"/>
      <c r="L1143" s="570"/>
      <c r="M1143" s="570"/>
      <c r="N1143" s="570"/>
      <c r="O1143" s="570"/>
      <c r="P1143" s="570"/>
      <c r="Q1143" s="570"/>
      <c r="R1143" s="570"/>
      <c r="S1143" s="570"/>
      <c r="T1143" s="570"/>
      <c r="U1143" s="570"/>
      <c r="V1143" s="570"/>
      <c r="W1143" s="570"/>
      <c r="X1143" s="570"/>
      <c r="Y1143" s="570"/>
      <c r="Z1143" s="570"/>
      <c r="AA1143" s="570"/>
      <c r="AB1143" s="570"/>
      <c r="AC1143" s="570"/>
      <c r="AD1143" s="570"/>
      <c r="AE1143" s="570"/>
      <c r="AF1143" s="570"/>
      <c r="AG1143" s="570"/>
      <c r="AH1143" s="570"/>
      <c r="AI1143" s="570"/>
      <c r="AJ1143" s="570"/>
      <c r="AK1143" s="570"/>
      <c r="AL1143" s="570"/>
      <c r="AM1143" s="570"/>
      <c r="AN1143" s="570"/>
      <c r="AO1143" s="570"/>
      <c r="AP1143" s="570"/>
      <c r="AQ1143" s="570"/>
      <c r="AR1143" s="570"/>
      <c r="AS1143" s="570"/>
      <c r="AT1143" s="570"/>
      <c r="AU1143" s="570"/>
    </row>
    <row r="1144" spans="1:47" ht="15.75" customHeight="1">
      <c r="A1144" s="589"/>
      <c r="B1144" s="580"/>
      <c r="C1144" s="587"/>
      <c r="D1144" s="587"/>
      <c r="E1144" s="579"/>
      <c r="F1144" s="589"/>
      <c r="G1144" s="589"/>
      <c r="H1144" s="589"/>
      <c r="I1144" s="589"/>
      <c r="J1144" s="589"/>
      <c r="K1144" s="589"/>
      <c r="L1144" s="570"/>
      <c r="M1144" s="570"/>
      <c r="N1144" s="570"/>
      <c r="O1144" s="570"/>
      <c r="P1144" s="570"/>
      <c r="Q1144" s="570"/>
      <c r="R1144" s="570"/>
      <c r="S1144" s="570"/>
      <c r="T1144" s="570"/>
      <c r="U1144" s="570"/>
      <c r="V1144" s="570"/>
      <c r="W1144" s="570"/>
      <c r="X1144" s="570"/>
      <c r="Y1144" s="570"/>
      <c r="Z1144" s="570"/>
      <c r="AA1144" s="570"/>
      <c r="AB1144" s="570"/>
      <c r="AC1144" s="570"/>
      <c r="AD1144" s="570"/>
      <c r="AE1144" s="570"/>
      <c r="AF1144" s="570"/>
      <c r="AG1144" s="570"/>
      <c r="AH1144" s="570"/>
      <c r="AI1144" s="570"/>
      <c r="AJ1144" s="570"/>
      <c r="AK1144" s="570"/>
      <c r="AL1144" s="570"/>
      <c r="AM1144" s="570"/>
      <c r="AN1144" s="570"/>
      <c r="AO1144" s="570"/>
      <c r="AP1144" s="570"/>
      <c r="AQ1144" s="570"/>
      <c r="AR1144" s="570"/>
      <c r="AS1144" s="570"/>
      <c r="AT1144" s="570"/>
      <c r="AU1144" s="570"/>
    </row>
    <row r="1145" spans="1:47" ht="15.75" customHeight="1">
      <c r="A1145" s="589"/>
      <c r="B1145" s="580"/>
      <c r="C1145" s="587"/>
      <c r="D1145" s="587"/>
      <c r="E1145" s="579"/>
      <c r="F1145" s="589"/>
      <c r="G1145" s="589"/>
      <c r="H1145" s="589"/>
      <c r="I1145" s="589"/>
      <c r="J1145" s="589"/>
      <c r="K1145" s="589"/>
      <c r="L1145" s="570"/>
      <c r="M1145" s="570"/>
      <c r="N1145" s="570"/>
      <c r="O1145" s="570"/>
      <c r="P1145" s="570"/>
      <c r="Q1145" s="570"/>
      <c r="R1145" s="570"/>
      <c r="S1145" s="570"/>
      <c r="T1145" s="570"/>
      <c r="U1145" s="570"/>
      <c r="V1145" s="570"/>
      <c r="W1145" s="570"/>
      <c r="X1145" s="570"/>
      <c r="Y1145" s="570"/>
      <c r="Z1145" s="570"/>
      <c r="AA1145" s="570"/>
      <c r="AB1145" s="570"/>
      <c r="AC1145" s="570"/>
      <c r="AD1145" s="570"/>
      <c r="AE1145" s="570"/>
      <c r="AF1145" s="570"/>
      <c r="AG1145" s="570"/>
      <c r="AH1145" s="570"/>
      <c r="AI1145" s="570"/>
      <c r="AJ1145" s="570"/>
      <c r="AK1145" s="570"/>
      <c r="AL1145" s="570"/>
      <c r="AM1145" s="570"/>
      <c r="AN1145" s="570"/>
      <c r="AO1145" s="570"/>
      <c r="AP1145" s="570"/>
      <c r="AQ1145" s="570"/>
      <c r="AR1145" s="570"/>
      <c r="AS1145" s="570"/>
      <c r="AT1145" s="570"/>
      <c r="AU1145" s="570"/>
    </row>
    <row r="1146" spans="1:47" ht="15.75" customHeight="1">
      <c r="A1146" s="589"/>
      <c r="B1146" s="580"/>
      <c r="C1146" s="587"/>
      <c r="D1146" s="587"/>
      <c r="E1146" s="579"/>
      <c r="F1146" s="589"/>
      <c r="G1146" s="589"/>
      <c r="H1146" s="589"/>
      <c r="I1146" s="589"/>
      <c r="J1146" s="589"/>
      <c r="K1146" s="589"/>
      <c r="L1146" s="570"/>
      <c r="M1146" s="570"/>
      <c r="N1146" s="570"/>
      <c r="O1146" s="570"/>
      <c r="P1146" s="570"/>
      <c r="Q1146" s="570"/>
      <c r="R1146" s="570"/>
      <c r="S1146" s="570"/>
      <c r="T1146" s="570"/>
      <c r="U1146" s="570"/>
      <c r="V1146" s="570"/>
      <c r="W1146" s="570"/>
      <c r="X1146" s="570"/>
      <c r="Y1146" s="570"/>
      <c r="Z1146" s="570"/>
      <c r="AA1146" s="570"/>
      <c r="AB1146" s="570"/>
      <c r="AC1146" s="570"/>
      <c r="AD1146" s="570"/>
      <c r="AE1146" s="570"/>
      <c r="AF1146" s="570"/>
      <c r="AG1146" s="570"/>
      <c r="AH1146" s="570"/>
      <c r="AI1146" s="570"/>
      <c r="AJ1146" s="570"/>
      <c r="AK1146" s="570"/>
      <c r="AL1146" s="570"/>
      <c r="AM1146" s="570"/>
      <c r="AN1146" s="570"/>
      <c r="AO1146" s="570"/>
      <c r="AP1146" s="570"/>
      <c r="AQ1146" s="570"/>
      <c r="AR1146" s="570"/>
      <c r="AS1146" s="570"/>
      <c r="AT1146" s="570"/>
      <c r="AU1146" s="570"/>
    </row>
    <row r="1147" spans="1:47" ht="15.75" customHeight="1">
      <c r="A1147" s="589"/>
      <c r="B1147" s="580"/>
      <c r="C1147" s="587"/>
      <c r="D1147" s="587"/>
      <c r="E1147" s="579"/>
      <c r="F1147" s="589"/>
      <c r="G1147" s="589"/>
      <c r="H1147" s="589"/>
      <c r="I1147" s="589"/>
      <c r="J1147" s="589"/>
      <c r="K1147" s="589"/>
      <c r="L1147" s="570"/>
      <c r="M1147" s="570"/>
      <c r="N1147" s="570"/>
      <c r="O1147" s="570"/>
      <c r="P1147" s="570"/>
      <c r="Q1147" s="570"/>
      <c r="R1147" s="570"/>
      <c r="S1147" s="570"/>
      <c r="T1147" s="570"/>
      <c r="U1147" s="570"/>
      <c r="V1147" s="570"/>
      <c r="W1147" s="570"/>
      <c r="X1147" s="570"/>
      <c r="Y1147" s="570"/>
      <c r="Z1147" s="570"/>
      <c r="AA1147" s="570"/>
      <c r="AB1147" s="570"/>
      <c r="AC1147" s="570"/>
      <c r="AD1147" s="570"/>
      <c r="AE1147" s="570"/>
      <c r="AF1147" s="570"/>
      <c r="AG1147" s="570"/>
      <c r="AH1147" s="570"/>
      <c r="AI1147" s="570"/>
      <c r="AJ1147" s="570"/>
      <c r="AK1147" s="570"/>
      <c r="AL1147" s="570"/>
      <c r="AM1147" s="570"/>
      <c r="AN1147" s="570"/>
      <c r="AO1147" s="570"/>
      <c r="AP1147" s="570"/>
      <c r="AQ1147" s="570"/>
      <c r="AR1147" s="570"/>
      <c r="AS1147" s="570"/>
      <c r="AT1147" s="570"/>
      <c r="AU1147" s="570"/>
    </row>
    <row r="1148" spans="1:47" ht="15.75" customHeight="1">
      <c r="A1148" s="589"/>
      <c r="B1148" s="580"/>
      <c r="C1148" s="587"/>
      <c r="D1148" s="587"/>
      <c r="E1148" s="579"/>
      <c r="F1148" s="589"/>
      <c r="G1148" s="589"/>
      <c r="H1148" s="589"/>
      <c r="I1148" s="589"/>
      <c r="J1148" s="589"/>
      <c r="K1148" s="589"/>
      <c r="L1148" s="570"/>
      <c r="M1148" s="570"/>
      <c r="N1148" s="570"/>
      <c r="O1148" s="570"/>
      <c r="P1148" s="570"/>
      <c r="Q1148" s="570"/>
      <c r="R1148" s="570"/>
      <c r="S1148" s="570"/>
      <c r="T1148" s="570"/>
      <c r="U1148" s="570"/>
      <c r="V1148" s="570"/>
      <c r="W1148" s="570"/>
      <c r="X1148" s="570"/>
      <c r="Y1148" s="570"/>
      <c r="Z1148" s="570"/>
      <c r="AA1148" s="570"/>
      <c r="AB1148" s="570"/>
      <c r="AC1148" s="570"/>
      <c r="AD1148" s="570"/>
      <c r="AE1148" s="570"/>
      <c r="AF1148" s="570"/>
      <c r="AG1148" s="570"/>
      <c r="AH1148" s="570"/>
      <c r="AI1148" s="570"/>
      <c r="AJ1148" s="570"/>
      <c r="AK1148" s="570"/>
      <c r="AL1148" s="570"/>
      <c r="AM1148" s="570"/>
      <c r="AN1148" s="570"/>
      <c r="AO1148" s="570"/>
      <c r="AP1148" s="570"/>
      <c r="AQ1148" s="570"/>
      <c r="AR1148" s="570"/>
      <c r="AS1148" s="570"/>
      <c r="AT1148" s="570"/>
      <c r="AU1148" s="570"/>
    </row>
    <row r="1149" spans="1:47" ht="15.75" customHeight="1">
      <c r="A1149" s="589"/>
      <c r="B1149" s="580"/>
      <c r="C1149" s="587"/>
      <c r="D1149" s="587"/>
      <c r="E1149" s="579"/>
      <c r="F1149" s="589"/>
      <c r="G1149" s="589"/>
      <c r="H1149" s="589"/>
      <c r="I1149" s="589"/>
      <c r="J1149" s="589"/>
      <c r="K1149" s="589"/>
      <c r="L1149" s="570"/>
      <c r="M1149" s="570"/>
      <c r="N1149" s="570"/>
      <c r="O1149" s="570"/>
      <c r="P1149" s="570"/>
      <c r="Q1149" s="570"/>
      <c r="R1149" s="570"/>
      <c r="S1149" s="570"/>
      <c r="T1149" s="570"/>
      <c r="U1149" s="570"/>
      <c r="V1149" s="570"/>
      <c r="W1149" s="570"/>
      <c r="X1149" s="570"/>
      <c r="Y1149" s="570"/>
      <c r="Z1149" s="570"/>
      <c r="AA1149" s="570"/>
      <c r="AB1149" s="570"/>
      <c r="AC1149" s="570"/>
      <c r="AD1149" s="570"/>
      <c r="AE1149" s="570"/>
      <c r="AF1149" s="570"/>
      <c r="AG1149" s="570"/>
      <c r="AH1149" s="570"/>
      <c r="AI1149" s="570"/>
      <c r="AJ1149" s="570"/>
      <c r="AK1149" s="570"/>
      <c r="AL1149" s="570"/>
      <c r="AM1149" s="570"/>
      <c r="AN1149" s="570"/>
      <c r="AO1149" s="570"/>
      <c r="AP1149" s="570"/>
      <c r="AQ1149" s="570"/>
      <c r="AR1149" s="570"/>
      <c r="AS1149" s="570"/>
      <c r="AT1149" s="570"/>
      <c r="AU1149" s="570"/>
    </row>
    <row r="1150" spans="1:47" ht="15.75" customHeight="1">
      <c r="A1150" s="589"/>
      <c r="B1150" s="580"/>
      <c r="C1150" s="587"/>
      <c r="D1150" s="587"/>
      <c r="E1150" s="579"/>
      <c r="F1150" s="589"/>
      <c r="G1150" s="589"/>
      <c r="H1150" s="589"/>
      <c r="I1150" s="589"/>
      <c r="J1150" s="589"/>
      <c r="K1150" s="589"/>
      <c r="L1150" s="570"/>
      <c r="M1150" s="570"/>
      <c r="N1150" s="570"/>
      <c r="O1150" s="570"/>
      <c r="P1150" s="570"/>
      <c r="Q1150" s="570"/>
      <c r="R1150" s="570"/>
      <c r="S1150" s="570"/>
      <c r="T1150" s="570"/>
      <c r="U1150" s="570"/>
      <c r="V1150" s="570"/>
      <c r="W1150" s="570"/>
      <c r="X1150" s="570"/>
      <c r="Y1150" s="570"/>
      <c r="Z1150" s="570"/>
      <c r="AA1150" s="570"/>
      <c r="AB1150" s="570"/>
      <c r="AC1150" s="570"/>
      <c r="AD1150" s="570"/>
      <c r="AE1150" s="570"/>
      <c r="AF1150" s="570"/>
      <c r="AG1150" s="570"/>
      <c r="AH1150" s="570"/>
      <c r="AI1150" s="570"/>
      <c r="AJ1150" s="570"/>
      <c r="AK1150" s="570"/>
      <c r="AL1150" s="570"/>
      <c r="AM1150" s="570"/>
      <c r="AN1150" s="570"/>
      <c r="AO1150" s="570"/>
      <c r="AP1150" s="570"/>
      <c r="AQ1150" s="570"/>
      <c r="AR1150" s="570"/>
      <c r="AS1150" s="570"/>
      <c r="AT1150" s="570"/>
      <c r="AU1150" s="570"/>
    </row>
    <row r="1151" spans="1:47" ht="15.75" customHeight="1">
      <c r="A1151" s="589"/>
      <c r="B1151" s="580"/>
      <c r="C1151" s="587"/>
      <c r="D1151" s="587"/>
      <c r="E1151" s="579"/>
      <c r="F1151" s="589"/>
      <c r="G1151" s="589"/>
      <c r="H1151" s="589"/>
      <c r="I1151" s="589"/>
      <c r="J1151" s="589"/>
      <c r="K1151" s="589"/>
      <c r="L1151" s="570"/>
      <c r="M1151" s="570"/>
      <c r="N1151" s="570"/>
      <c r="O1151" s="570"/>
      <c r="P1151" s="570"/>
      <c r="Q1151" s="570"/>
      <c r="R1151" s="570"/>
      <c r="S1151" s="570"/>
      <c r="T1151" s="570"/>
      <c r="U1151" s="570"/>
      <c r="V1151" s="570"/>
      <c r="W1151" s="570"/>
      <c r="X1151" s="570"/>
      <c r="Y1151" s="570"/>
      <c r="Z1151" s="570"/>
      <c r="AA1151" s="570"/>
      <c r="AB1151" s="570"/>
      <c r="AC1151" s="570"/>
      <c r="AD1151" s="570"/>
      <c r="AE1151" s="570"/>
      <c r="AF1151" s="570"/>
      <c r="AG1151" s="570"/>
      <c r="AH1151" s="570"/>
      <c r="AI1151" s="570"/>
      <c r="AJ1151" s="570"/>
      <c r="AK1151" s="570"/>
      <c r="AL1151" s="570"/>
      <c r="AM1151" s="570"/>
      <c r="AN1151" s="570"/>
      <c r="AO1151" s="570"/>
      <c r="AP1151" s="570"/>
      <c r="AQ1151" s="570"/>
      <c r="AR1151" s="570"/>
      <c r="AS1151" s="570"/>
      <c r="AT1151" s="570"/>
      <c r="AU1151" s="570"/>
    </row>
    <row r="1152" spans="1:47" ht="15.75" customHeight="1">
      <c r="A1152" s="589"/>
      <c r="B1152" s="580"/>
      <c r="C1152" s="587"/>
      <c r="D1152" s="587"/>
      <c r="E1152" s="579"/>
      <c r="F1152" s="589"/>
      <c r="G1152" s="589"/>
      <c r="H1152" s="589"/>
      <c r="I1152" s="589"/>
      <c r="J1152" s="589"/>
      <c r="K1152" s="589"/>
      <c r="L1152" s="570"/>
      <c r="M1152" s="570"/>
      <c r="N1152" s="570"/>
      <c r="O1152" s="570"/>
      <c r="P1152" s="570"/>
      <c r="Q1152" s="570"/>
      <c r="R1152" s="570"/>
      <c r="S1152" s="570"/>
      <c r="T1152" s="570"/>
      <c r="U1152" s="570"/>
      <c r="V1152" s="570"/>
      <c r="W1152" s="570"/>
      <c r="X1152" s="570"/>
      <c r="Y1152" s="570"/>
      <c r="Z1152" s="570"/>
      <c r="AA1152" s="570"/>
      <c r="AB1152" s="570"/>
      <c r="AC1152" s="570"/>
      <c r="AD1152" s="570"/>
      <c r="AE1152" s="570"/>
      <c r="AF1152" s="570"/>
      <c r="AG1152" s="570"/>
      <c r="AH1152" s="570"/>
      <c r="AI1152" s="570"/>
      <c r="AJ1152" s="570"/>
      <c r="AK1152" s="570"/>
      <c r="AL1152" s="570"/>
      <c r="AM1152" s="570"/>
      <c r="AN1152" s="570"/>
      <c r="AO1152" s="570"/>
      <c r="AP1152" s="570"/>
      <c r="AQ1152" s="570"/>
      <c r="AR1152" s="570"/>
      <c r="AS1152" s="570"/>
      <c r="AT1152" s="570"/>
      <c r="AU1152" s="570"/>
    </row>
    <row r="1153" spans="1:47" ht="15.75" customHeight="1">
      <c r="A1153" s="589"/>
      <c r="B1153" s="580"/>
      <c r="C1153" s="587"/>
      <c r="D1153" s="587"/>
      <c r="E1153" s="579"/>
      <c r="F1153" s="589"/>
      <c r="G1153" s="589"/>
      <c r="H1153" s="589"/>
      <c r="I1153" s="589"/>
      <c r="J1153" s="589"/>
      <c r="K1153" s="589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  <c r="Z1153" s="570"/>
      <c r="AA1153" s="570"/>
      <c r="AB1153" s="570"/>
      <c r="AC1153" s="570"/>
      <c r="AD1153" s="570"/>
      <c r="AE1153" s="570"/>
      <c r="AF1153" s="570"/>
      <c r="AG1153" s="570"/>
      <c r="AH1153" s="570"/>
      <c r="AI1153" s="570"/>
      <c r="AJ1153" s="570"/>
      <c r="AK1153" s="570"/>
      <c r="AL1153" s="570"/>
      <c r="AM1153" s="570"/>
      <c r="AN1153" s="570"/>
      <c r="AO1153" s="570"/>
      <c r="AP1153" s="570"/>
      <c r="AQ1153" s="570"/>
      <c r="AR1153" s="570"/>
      <c r="AS1153" s="570"/>
      <c r="AT1153" s="570"/>
      <c r="AU1153" s="570"/>
    </row>
    <row r="1154" spans="1:47" ht="15.75" customHeight="1">
      <c r="A1154" s="589"/>
      <c r="B1154" s="580"/>
      <c r="C1154" s="587"/>
      <c r="D1154" s="587"/>
      <c r="E1154" s="579"/>
      <c r="F1154" s="589"/>
      <c r="G1154" s="589"/>
      <c r="H1154" s="589"/>
      <c r="I1154" s="589"/>
      <c r="J1154" s="589"/>
      <c r="K1154" s="589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  <c r="Z1154" s="570"/>
      <c r="AA1154" s="570"/>
      <c r="AB1154" s="570"/>
      <c r="AC1154" s="570"/>
      <c r="AD1154" s="570"/>
      <c r="AE1154" s="570"/>
      <c r="AF1154" s="570"/>
      <c r="AG1154" s="570"/>
      <c r="AH1154" s="570"/>
      <c r="AI1154" s="570"/>
      <c r="AJ1154" s="570"/>
      <c r="AK1154" s="570"/>
      <c r="AL1154" s="570"/>
      <c r="AM1154" s="570"/>
      <c r="AN1154" s="570"/>
      <c r="AO1154" s="570"/>
      <c r="AP1154" s="570"/>
      <c r="AQ1154" s="570"/>
      <c r="AR1154" s="570"/>
      <c r="AS1154" s="570"/>
      <c r="AT1154" s="570"/>
      <c r="AU1154" s="570"/>
    </row>
    <row r="1155" spans="1:47" ht="15.75" customHeight="1">
      <c r="A1155" s="589"/>
      <c r="B1155" s="580"/>
      <c r="C1155" s="587"/>
      <c r="D1155" s="587"/>
      <c r="E1155" s="579"/>
      <c r="F1155" s="589"/>
      <c r="G1155" s="589"/>
      <c r="H1155" s="589"/>
      <c r="I1155" s="589"/>
      <c r="J1155" s="589"/>
      <c r="K1155" s="589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  <c r="Z1155" s="570"/>
      <c r="AA1155" s="570"/>
      <c r="AB1155" s="570"/>
      <c r="AC1155" s="570"/>
      <c r="AD1155" s="570"/>
      <c r="AE1155" s="570"/>
      <c r="AF1155" s="570"/>
      <c r="AG1155" s="570"/>
      <c r="AH1155" s="570"/>
      <c r="AI1155" s="570"/>
      <c r="AJ1155" s="570"/>
      <c r="AK1155" s="570"/>
      <c r="AL1155" s="570"/>
      <c r="AM1155" s="570"/>
      <c r="AN1155" s="570"/>
      <c r="AO1155" s="570"/>
      <c r="AP1155" s="570"/>
      <c r="AQ1155" s="570"/>
      <c r="AR1155" s="570"/>
      <c r="AS1155" s="570"/>
      <c r="AT1155" s="570"/>
      <c r="AU1155" s="570"/>
    </row>
    <row r="1156" spans="1:47" ht="15.75" customHeight="1">
      <c r="A1156" s="589"/>
      <c r="B1156" s="580"/>
      <c r="C1156" s="587"/>
      <c r="D1156" s="587"/>
      <c r="E1156" s="579"/>
      <c r="F1156" s="589"/>
      <c r="G1156" s="589"/>
      <c r="H1156" s="589"/>
      <c r="I1156" s="589"/>
      <c r="J1156" s="589"/>
      <c r="K1156" s="589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  <c r="Z1156" s="570"/>
      <c r="AA1156" s="570"/>
      <c r="AB1156" s="570"/>
      <c r="AC1156" s="570"/>
      <c r="AD1156" s="570"/>
      <c r="AE1156" s="570"/>
      <c r="AF1156" s="570"/>
      <c r="AG1156" s="570"/>
      <c r="AH1156" s="570"/>
      <c r="AI1156" s="570"/>
      <c r="AJ1156" s="570"/>
      <c r="AK1156" s="570"/>
      <c r="AL1156" s="570"/>
      <c r="AM1156" s="570"/>
      <c r="AN1156" s="570"/>
      <c r="AO1156" s="570"/>
      <c r="AP1156" s="570"/>
      <c r="AQ1156" s="570"/>
      <c r="AR1156" s="570"/>
      <c r="AS1156" s="570"/>
      <c r="AT1156" s="570"/>
      <c r="AU1156" s="570"/>
    </row>
    <row r="1157" spans="1:47" ht="15.75" customHeight="1">
      <c r="A1157" s="589"/>
      <c r="B1157" s="580"/>
      <c r="C1157" s="587"/>
      <c r="D1157" s="587"/>
      <c r="E1157" s="579"/>
      <c r="F1157" s="589"/>
      <c r="G1157" s="589"/>
      <c r="H1157" s="589"/>
      <c r="I1157" s="589"/>
      <c r="J1157" s="589"/>
      <c r="K1157" s="589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  <c r="Z1157" s="570"/>
      <c r="AA1157" s="570"/>
      <c r="AB1157" s="570"/>
      <c r="AC1157" s="570"/>
      <c r="AD1157" s="570"/>
      <c r="AE1157" s="570"/>
      <c r="AF1157" s="570"/>
      <c r="AG1157" s="570"/>
      <c r="AH1157" s="570"/>
      <c r="AI1157" s="570"/>
      <c r="AJ1157" s="570"/>
      <c r="AK1157" s="570"/>
      <c r="AL1157" s="570"/>
      <c r="AM1157" s="570"/>
      <c r="AN1157" s="570"/>
      <c r="AO1157" s="570"/>
      <c r="AP1157" s="570"/>
      <c r="AQ1157" s="570"/>
      <c r="AR1157" s="570"/>
      <c r="AS1157" s="570"/>
      <c r="AT1157" s="570"/>
      <c r="AU1157" s="570"/>
    </row>
    <row r="1158" spans="1:47" ht="15.75" customHeight="1">
      <c r="A1158" s="589"/>
      <c r="B1158" s="580"/>
      <c r="C1158" s="587"/>
      <c r="D1158" s="587"/>
      <c r="E1158" s="579"/>
      <c r="F1158" s="589"/>
      <c r="G1158" s="589"/>
      <c r="H1158" s="589"/>
      <c r="I1158" s="589"/>
      <c r="J1158" s="589"/>
      <c r="K1158" s="589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  <c r="Z1158" s="570"/>
      <c r="AA1158" s="570"/>
      <c r="AB1158" s="570"/>
      <c r="AC1158" s="570"/>
      <c r="AD1158" s="570"/>
      <c r="AE1158" s="570"/>
      <c r="AF1158" s="570"/>
      <c r="AG1158" s="570"/>
      <c r="AH1158" s="570"/>
      <c r="AI1158" s="570"/>
      <c r="AJ1158" s="570"/>
      <c r="AK1158" s="570"/>
      <c r="AL1158" s="570"/>
      <c r="AM1158" s="570"/>
      <c r="AN1158" s="570"/>
      <c r="AO1158" s="570"/>
      <c r="AP1158" s="570"/>
      <c r="AQ1158" s="570"/>
      <c r="AR1158" s="570"/>
      <c r="AS1158" s="570"/>
      <c r="AT1158" s="570"/>
      <c r="AU1158" s="570"/>
    </row>
    <row r="1159" spans="1:47" ht="15.75" customHeight="1">
      <c r="A1159" s="589"/>
      <c r="B1159" s="580"/>
      <c r="C1159" s="587"/>
      <c r="D1159" s="587"/>
      <c r="E1159" s="579"/>
      <c r="F1159" s="589"/>
      <c r="G1159" s="589"/>
      <c r="H1159" s="589"/>
      <c r="I1159" s="589"/>
      <c r="J1159" s="589"/>
      <c r="K1159" s="589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  <c r="Z1159" s="570"/>
      <c r="AA1159" s="570"/>
      <c r="AB1159" s="570"/>
      <c r="AC1159" s="570"/>
      <c r="AD1159" s="570"/>
      <c r="AE1159" s="570"/>
      <c r="AF1159" s="570"/>
      <c r="AG1159" s="570"/>
      <c r="AH1159" s="570"/>
      <c r="AI1159" s="570"/>
      <c r="AJ1159" s="570"/>
      <c r="AK1159" s="570"/>
      <c r="AL1159" s="570"/>
      <c r="AM1159" s="570"/>
      <c r="AN1159" s="570"/>
      <c r="AO1159" s="570"/>
      <c r="AP1159" s="570"/>
      <c r="AQ1159" s="570"/>
      <c r="AR1159" s="570"/>
      <c r="AS1159" s="570"/>
      <c r="AT1159" s="570"/>
      <c r="AU1159" s="570"/>
    </row>
    <row r="1160" spans="1:47" ht="15.75" customHeight="1">
      <c r="A1160" s="589"/>
      <c r="B1160" s="580"/>
      <c r="C1160" s="587"/>
      <c r="D1160" s="587"/>
      <c r="E1160" s="579"/>
      <c r="F1160" s="589"/>
      <c r="G1160" s="589"/>
      <c r="H1160" s="589"/>
      <c r="I1160" s="589"/>
      <c r="J1160" s="589"/>
      <c r="K1160" s="589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  <c r="Z1160" s="570"/>
      <c r="AA1160" s="570"/>
      <c r="AB1160" s="570"/>
      <c r="AC1160" s="570"/>
      <c r="AD1160" s="570"/>
      <c r="AE1160" s="570"/>
      <c r="AF1160" s="570"/>
      <c r="AG1160" s="570"/>
      <c r="AH1160" s="570"/>
      <c r="AI1160" s="570"/>
      <c r="AJ1160" s="570"/>
      <c r="AK1160" s="570"/>
      <c r="AL1160" s="570"/>
      <c r="AM1160" s="570"/>
      <c r="AN1160" s="570"/>
      <c r="AO1160" s="570"/>
      <c r="AP1160" s="570"/>
      <c r="AQ1160" s="570"/>
      <c r="AR1160" s="570"/>
      <c r="AS1160" s="570"/>
      <c r="AT1160" s="570"/>
      <c r="AU1160" s="570"/>
    </row>
    <row r="1161" spans="1:47" ht="15.75" customHeight="1">
      <c r="A1161" s="589"/>
      <c r="B1161" s="580"/>
      <c r="C1161" s="587"/>
      <c r="D1161" s="587"/>
      <c r="E1161" s="579"/>
      <c r="F1161" s="589"/>
      <c r="G1161" s="589"/>
      <c r="H1161" s="589"/>
      <c r="I1161" s="589"/>
      <c r="J1161" s="589"/>
      <c r="K1161" s="589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  <c r="Z1161" s="570"/>
      <c r="AA1161" s="570"/>
      <c r="AB1161" s="570"/>
      <c r="AC1161" s="570"/>
      <c r="AD1161" s="570"/>
      <c r="AE1161" s="570"/>
      <c r="AF1161" s="570"/>
      <c r="AG1161" s="570"/>
      <c r="AH1161" s="570"/>
      <c r="AI1161" s="570"/>
      <c r="AJ1161" s="570"/>
      <c r="AK1161" s="570"/>
      <c r="AL1161" s="570"/>
      <c r="AM1161" s="570"/>
      <c r="AN1161" s="570"/>
      <c r="AO1161" s="570"/>
      <c r="AP1161" s="570"/>
      <c r="AQ1161" s="570"/>
      <c r="AR1161" s="570"/>
      <c r="AS1161" s="570"/>
      <c r="AT1161" s="570"/>
      <c r="AU1161" s="570"/>
    </row>
    <row r="1162" spans="1:47" ht="15.75" customHeight="1">
      <c r="A1162" s="589"/>
      <c r="B1162" s="580"/>
      <c r="C1162" s="587"/>
      <c r="D1162" s="587"/>
      <c r="E1162" s="579"/>
      <c r="F1162" s="589"/>
      <c r="G1162" s="589"/>
      <c r="H1162" s="589"/>
      <c r="I1162" s="589"/>
      <c r="J1162" s="589"/>
      <c r="K1162" s="589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  <c r="Z1162" s="570"/>
      <c r="AA1162" s="570"/>
      <c r="AB1162" s="570"/>
      <c r="AC1162" s="570"/>
      <c r="AD1162" s="570"/>
      <c r="AE1162" s="570"/>
      <c r="AF1162" s="570"/>
      <c r="AG1162" s="570"/>
      <c r="AH1162" s="570"/>
      <c r="AI1162" s="570"/>
      <c r="AJ1162" s="570"/>
      <c r="AK1162" s="570"/>
      <c r="AL1162" s="570"/>
      <c r="AM1162" s="570"/>
      <c r="AN1162" s="570"/>
      <c r="AO1162" s="570"/>
      <c r="AP1162" s="570"/>
      <c r="AQ1162" s="570"/>
      <c r="AR1162" s="570"/>
      <c r="AS1162" s="570"/>
      <c r="AT1162" s="570"/>
      <c r="AU1162" s="570"/>
    </row>
    <row r="1163" spans="1:47" ht="15.75" customHeight="1">
      <c r="A1163" s="589"/>
      <c r="B1163" s="580"/>
      <c r="C1163" s="587"/>
      <c r="D1163" s="587"/>
      <c r="E1163" s="579"/>
      <c r="F1163" s="589"/>
      <c r="G1163" s="589"/>
      <c r="H1163" s="589"/>
      <c r="I1163" s="589"/>
      <c r="J1163" s="589"/>
      <c r="K1163" s="589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  <c r="Z1163" s="570"/>
      <c r="AA1163" s="570"/>
      <c r="AB1163" s="570"/>
      <c r="AC1163" s="570"/>
      <c r="AD1163" s="570"/>
      <c r="AE1163" s="570"/>
      <c r="AF1163" s="570"/>
      <c r="AG1163" s="570"/>
      <c r="AH1163" s="570"/>
      <c r="AI1163" s="570"/>
      <c r="AJ1163" s="570"/>
      <c r="AK1163" s="570"/>
      <c r="AL1163" s="570"/>
      <c r="AM1163" s="570"/>
      <c r="AN1163" s="570"/>
      <c r="AO1163" s="570"/>
      <c r="AP1163" s="570"/>
      <c r="AQ1163" s="570"/>
      <c r="AR1163" s="570"/>
      <c r="AS1163" s="570"/>
      <c r="AT1163" s="570"/>
      <c r="AU1163" s="570"/>
    </row>
    <row r="1164" spans="1:47" ht="15.75" customHeight="1">
      <c r="A1164" s="589"/>
      <c r="B1164" s="580"/>
      <c r="C1164" s="587"/>
      <c r="D1164" s="587"/>
      <c r="E1164" s="579"/>
      <c r="F1164" s="589"/>
      <c r="G1164" s="589"/>
      <c r="H1164" s="589"/>
      <c r="I1164" s="589"/>
      <c r="J1164" s="589"/>
      <c r="K1164" s="589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  <c r="Z1164" s="570"/>
      <c r="AA1164" s="570"/>
      <c r="AB1164" s="570"/>
      <c r="AC1164" s="570"/>
      <c r="AD1164" s="570"/>
      <c r="AE1164" s="570"/>
      <c r="AF1164" s="570"/>
      <c r="AG1164" s="570"/>
      <c r="AH1164" s="570"/>
      <c r="AI1164" s="570"/>
      <c r="AJ1164" s="570"/>
      <c r="AK1164" s="570"/>
      <c r="AL1164" s="570"/>
      <c r="AM1164" s="570"/>
      <c r="AN1164" s="570"/>
      <c r="AO1164" s="570"/>
      <c r="AP1164" s="570"/>
      <c r="AQ1164" s="570"/>
      <c r="AR1164" s="570"/>
      <c r="AS1164" s="570"/>
      <c r="AT1164" s="570"/>
      <c r="AU1164" s="570"/>
    </row>
    <row r="1165" spans="1:47" ht="15.75" customHeight="1">
      <c r="A1165" s="589"/>
      <c r="B1165" s="580"/>
      <c r="C1165" s="587"/>
      <c r="D1165" s="587"/>
      <c r="E1165" s="579"/>
      <c r="F1165" s="589"/>
      <c r="G1165" s="589"/>
      <c r="H1165" s="589"/>
      <c r="I1165" s="589"/>
      <c r="J1165" s="589"/>
      <c r="K1165" s="589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  <c r="Z1165" s="570"/>
      <c r="AA1165" s="570"/>
      <c r="AB1165" s="570"/>
      <c r="AC1165" s="570"/>
      <c r="AD1165" s="570"/>
      <c r="AE1165" s="570"/>
      <c r="AF1165" s="570"/>
      <c r="AG1165" s="570"/>
      <c r="AH1165" s="570"/>
      <c r="AI1165" s="570"/>
      <c r="AJ1165" s="570"/>
      <c r="AK1165" s="570"/>
      <c r="AL1165" s="570"/>
      <c r="AM1165" s="570"/>
      <c r="AN1165" s="570"/>
      <c r="AO1165" s="570"/>
      <c r="AP1165" s="570"/>
      <c r="AQ1165" s="570"/>
      <c r="AR1165" s="570"/>
      <c r="AS1165" s="570"/>
      <c r="AT1165" s="570"/>
      <c r="AU1165" s="570"/>
    </row>
    <row r="1166" spans="1:47" ht="15.75" customHeight="1">
      <c r="A1166" s="589"/>
      <c r="B1166" s="580"/>
      <c r="C1166" s="587"/>
      <c r="D1166" s="587"/>
      <c r="E1166" s="579"/>
      <c r="F1166" s="589"/>
      <c r="G1166" s="589"/>
      <c r="H1166" s="589"/>
      <c r="I1166" s="589"/>
      <c r="J1166" s="589"/>
      <c r="K1166" s="589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  <c r="Z1166" s="570"/>
      <c r="AA1166" s="570"/>
      <c r="AB1166" s="570"/>
      <c r="AC1166" s="570"/>
      <c r="AD1166" s="570"/>
      <c r="AE1166" s="570"/>
      <c r="AF1166" s="570"/>
      <c r="AG1166" s="570"/>
      <c r="AH1166" s="570"/>
      <c r="AI1166" s="570"/>
      <c r="AJ1166" s="570"/>
      <c r="AK1166" s="570"/>
      <c r="AL1166" s="570"/>
      <c r="AM1166" s="570"/>
      <c r="AN1166" s="570"/>
      <c r="AO1166" s="570"/>
      <c r="AP1166" s="570"/>
      <c r="AQ1166" s="570"/>
      <c r="AR1166" s="570"/>
      <c r="AS1166" s="570"/>
      <c r="AT1166" s="570"/>
      <c r="AU1166" s="570"/>
    </row>
    <row r="1167" spans="1:47" ht="15.75" customHeight="1">
      <c r="A1167" s="589"/>
      <c r="B1167" s="580"/>
      <c r="C1167" s="587"/>
      <c r="D1167" s="587"/>
      <c r="E1167" s="579"/>
      <c r="F1167" s="589"/>
      <c r="G1167" s="589"/>
      <c r="H1167" s="589"/>
      <c r="I1167" s="589"/>
      <c r="J1167" s="589"/>
      <c r="K1167" s="589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  <c r="Z1167" s="570"/>
      <c r="AA1167" s="570"/>
      <c r="AB1167" s="570"/>
      <c r="AC1167" s="570"/>
      <c r="AD1167" s="570"/>
      <c r="AE1167" s="570"/>
      <c r="AF1167" s="570"/>
      <c r="AG1167" s="570"/>
      <c r="AH1167" s="570"/>
      <c r="AI1167" s="570"/>
      <c r="AJ1167" s="570"/>
      <c r="AK1167" s="570"/>
      <c r="AL1167" s="570"/>
      <c r="AM1167" s="570"/>
      <c r="AN1167" s="570"/>
      <c r="AO1167" s="570"/>
      <c r="AP1167" s="570"/>
      <c r="AQ1167" s="570"/>
      <c r="AR1167" s="570"/>
      <c r="AS1167" s="570"/>
      <c r="AT1167" s="570"/>
      <c r="AU1167" s="570"/>
    </row>
    <row r="1168" spans="1:47" ht="15.75" customHeight="1">
      <c r="A1168" s="589"/>
      <c r="B1168" s="580"/>
      <c r="C1168" s="587"/>
      <c r="D1168" s="587"/>
      <c r="E1168" s="579"/>
      <c r="F1168" s="589"/>
      <c r="G1168" s="589"/>
      <c r="H1168" s="589"/>
      <c r="I1168" s="589"/>
      <c r="J1168" s="589"/>
      <c r="K1168" s="589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  <c r="Z1168" s="570"/>
      <c r="AA1168" s="570"/>
      <c r="AB1168" s="570"/>
      <c r="AC1168" s="570"/>
      <c r="AD1168" s="570"/>
      <c r="AE1168" s="570"/>
      <c r="AF1168" s="570"/>
      <c r="AG1168" s="570"/>
      <c r="AH1168" s="570"/>
      <c r="AI1168" s="570"/>
      <c r="AJ1168" s="570"/>
      <c r="AK1168" s="570"/>
      <c r="AL1168" s="570"/>
      <c r="AM1168" s="570"/>
      <c r="AN1168" s="570"/>
      <c r="AO1168" s="570"/>
      <c r="AP1168" s="570"/>
      <c r="AQ1168" s="570"/>
      <c r="AR1168" s="570"/>
      <c r="AS1168" s="570"/>
      <c r="AT1168" s="570"/>
      <c r="AU1168" s="570"/>
    </row>
    <row r="1169" spans="1:47" ht="15.75" customHeight="1">
      <c r="A1169" s="589"/>
      <c r="B1169" s="580"/>
      <c r="C1169" s="587"/>
      <c r="D1169" s="587"/>
      <c r="E1169" s="579"/>
      <c r="F1169" s="589"/>
      <c r="G1169" s="589"/>
      <c r="H1169" s="589"/>
      <c r="I1169" s="589"/>
      <c r="J1169" s="589"/>
      <c r="K1169" s="589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  <c r="Z1169" s="570"/>
      <c r="AA1169" s="570"/>
      <c r="AB1169" s="570"/>
      <c r="AC1169" s="570"/>
      <c r="AD1169" s="570"/>
      <c r="AE1169" s="570"/>
      <c r="AF1169" s="570"/>
      <c r="AG1169" s="570"/>
      <c r="AH1169" s="570"/>
      <c r="AI1169" s="570"/>
      <c r="AJ1169" s="570"/>
      <c r="AK1169" s="570"/>
      <c r="AL1169" s="570"/>
      <c r="AM1169" s="570"/>
      <c r="AN1169" s="570"/>
      <c r="AO1169" s="570"/>
      <c r="AP1169" s="570"/>
      <c r="AQ1169" s="570"/>
      <c r="AR1169" s="570"/>
      <c r="AS1169" s="570"/>
      <c r="AT1169" s="570"/>
      <c r="AU1169" s="570"/>
    </row>
    <row r="1170" spans="1:47" ht="15.75" customHeight="1">
      <c r="A1170" s="589"/>
      <c r="B1170" s="580"/>
      <c r="C1170" s="587"/>
      <c r="D1170" s="587"/>
      <c r="E1170" s="579"/>
      <c r="F1170" s="589"/>
      <c r="G1170" s="589"/>
      <c r="H1170" s="589"/>
      <c r="I1170" s="589"/>
      <c r="J1170" s="589"/>
      <c r="K1170" s="589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  <c r="Z1170" s="570"/>
      <c r="AA1170" s="570"/>
      <c r="AB1170" s="570"/>
      <c r="AC1170" s="570"/>
      <c r="AD1170" s="570"/>
      <c r="AE1170" s="570"/>
      <c r="AF1170" s="570"/>
      <c r="AG1170" s="570"/>
      <c r="AH1170" s="570"/>
      <c r="AI1170" s="570"/>
      <c r="AJ1170" s="570"/>
      <c r="AK1170" s="570"/>
      <c r="AL1170" s="570"/>
      <c r="AM1170" s="570"/>
      <c r="AN1170" s="570"/>
      <c r="AO1170" s="570"/>
      <c r="AP1170" s="570"/>
      <c r="AQ1170" s="570"/>
      <c r="AR1170" s="570"/>
      <c r="AS1170" s="570"/>
      <c r="AT1170" s="570"/>
      <c r="AU1170" s="570"/>
    </row>
    <row r="1171" spans="1:47" ht="15.75" customHeight="1">
      <c r="A1171" s="589"/>
      <c r="B1171" s="580"/>
      <c r="C1171" s="587"/>
      <c r="D1171" s="587"/>
      <c r="E1171" s="579"/>
      <c r="F1171" s="589"/>
      <c r="G1171" s="589"/>
      <c r="H1171" s="589"/>
      <c r="I1171" s="589"/>
      <c r="J1171" s="589"/>
      <c r="K1171" s="589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  <c r="Z1171" s="570"/>
      <c r="AA1171" s="570"/>
      <c r="AB1171" s="570"/>
      <c r="AC1171" s="570"/>
      <c r="AD1171" s="570"/>
      <c r="AE1171" s="570"/>
      <c r="AF1171" s="570"/>
      <c r="AG1171" s="570"/>
      <c r="AH1171" s="570"/>
      <c r="AI1171" s="570"/>
      <c r="AJ1171" s="570"/>
      <c r="AK1171" s="570"/>
      <c r="AL1171" s="570"/>
      <c r="AM1171" s="570"/>
      <c r="AN1171" s="570"/>
      <c r="AO1171" s="570"/>
      <c r="AP1171" s="570"/>
      <c r="AQ1171" s="570"/>
      <c r="AR1171" s="570"/>
      <c r="AS1171" s="570"/>
      <c r="AT1171" s="570"/>
      <c r="AU1171" s="570"/>
    </row>
    <row r="1172" spans="1:47" ht="15.75" customHeight="1">
      <c r="A1172" s="589"/>
      <c r="B1172" s="580"/>
      <c r="C1172" s="587"/>
      <c r="D1172" s="587"/>
      <c r="E1172" s="579"/>
      <c r="F1172" s="589"/>
      <c r="G1172" s="589"/>
      <c r="H1172" s="589"/>
      <c r="I1172" s="589"/>
      <c r="J1172" s="589"/>
      <c r="K1172" s="589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  <c r="Z1172" s="570"/>
      <c r="AA1172" s="570"/>
      <c r="AB1172" s="570"/>
      <c r="AC1172" s="570"/>
      <c r="AD1172" s="570"/>
      <c r="AE1172" s="570"/>
      <c r="AF1172" s="570"/>
      <c r="AG1172" s="570"/>
      <c r="AH1172" s="570"/>
      <c r="AI1172" s="570"/>
      <c r="AJ1172" s="570"/>
      <c r="AK1172" s="570"/>
      <c r="AL1172" s="570"/>
      <c r="AM1172" s="570"/>
      <c r="AN1172" s="570"/>
      <c r="AO1172" s="570"/>
      <c r="AP1172" s="570"/>
      <c r="AQ1172" s="570"/>
      <c r="AR1172" s="570"/>
      <c r="AS1172" s="570"/>
      <c r="AT1172" s="570"/>
      <c r="AU1172" s="570"/>
    </row>
    <row r="1173" spans="1:47" ht="15.75" customHeight="1">
      <c r="A1173" s="589"/>
      <c r="B1173" s="580"/>
      <c r="C1173" s="587"/>
      <c r="D1173" s="587"/>
      <c r="E1173" s="579"/>
      <c r="F1173" s="589"/>
      <c r="G1173" s="589"/>
      <c r="H1173" s="589"/>
      <c r="I1173" s="589"/>
      <c r="J1173" s="589"/>
      <c r="K1173" s="589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  <c r="Z1173" s="570"/>
      <c r="AA1173" s="570"/>
      <c r="AB1173" s="570"/>
      <c r="AC1173" s="570"/>
      <c r="AD1173" s="570"/>
      <c r="AE1173" s="570"/>
      <c r="AF1173" s="570"/>
      <c r="AG1173" s="570"/>
      <c r="AH1173" s="570"/>
      <c r="AI1173" s="570"/>
      <c r="AJ1173" s="570"/>
      <c r="AK1173" s="570"/>
      <c r="AL1173" s="570"/>
      <c r="AM1173" s="570"/>
      <c r="AN1173" s="570"/>
      <c r="AO1173" s="570"/>
      <c r="AP1173" s="570"/>
      <c r="AQ1173" s="570"/>
      <c r="AR1173" s="570"/>
      <c r="AS1173" s="570"/>
      <c r="AT1173" s="570"/>
      <c r="AU1173" s="570"/>
    </row>
    <row r="1174" spans="1:47" ht="15.75" customHeight="1">
      <c r="A1174" s="589"/>
      <c r="B1174" s="580"/>
      <c r="C1174" s="587"/>
      <c r="D1174" s="587"/>
      <c r="E1174" s="579"/>
      <c r="F1174" s="589"/>
      <c r="G1174" s="589"/>
      <c r="H1174" s="589"/>
      <c r="I1174" s="589"/>
      <c r="J1174" s="589"/>
      <c r="K1174" s="589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  <c r="Z1174" s="570"/>
      <c r="AA1174" s="570"/>
      <c r="AB1174" s="570"/>
      <c r="AC1174" s="570"/>
      <c r="AD1174" s="570"/>
      <c r="AE1174" s="570"/>
      <c r="AF1174" s="570"/>
      <c r="AG1174" s="570"/>
      <c r="AH1174" s="570"/>
      <c r="AI1174" s="570"/>
      <c r="AJ1174" s="570"/>
      <c r="AK1174" s="570"/>
      <c r="AL1174" s="570"/>
      <c r="AM1174" s="570"/>
      <c r="AN1174" s="570"/>
      <c r="AO1174" s="570"/>
      <c r="AP1174" s="570"/>
      <c r="AQ1174" s="570"/>
      <c r="AR1174" s="570"/>
      <c r="AS1174" s="570"/>
      <c r="AT1174" s="570"/>
      <c r="AU1174" s="570"/>
    </row>
    <row r="1175" spans="1:47" ht="15.75" customHeight="1">
      <c r="A1175" s="589"/>
      <c r="B1175" s="580"/>
      <c r="C1175" s="587"/>
      <c r="D1175" s="587"/>
      <c r="E1175" s="579"/>
      <c r="F1175" s="589"/>
      <c r="G1175" s="589"/>
      <c r="H1175" s="589"/>
      <c r="I1175" s="589"/>
      <c r="J1175" s="589"/>
      <c r="K1175" s="589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  <c r="Z1175" s="570"/>
      <c r="AA1175" s="570"/>
      <c r="AB1175" s="570"/>
      <c r="AC1175" s="570"/>
      <c r="AD1175" s="570"/>
      <c r="AE1175" s="570"/>
      <c r="AF1175" s="570"/>
      <c r="AG1175" s="570"/>
      <c r="AH1175" s="570"/>
      <c r="AI1175" s="570"/>
      <c r="AJ1175" s="570"/>
      <c r="AK1175" s="570"/>
      <c r="AL1175" s="570"/>
      <c r="AM1175" s="570"/>
      <c r="AN1175" s="570"/>
      <c r="AO1175" s="570"/>
      <c r="AP1175" s="570"/>
      <c r="AQ1175" s="570"/>
      <c r="AR1175" s="570"/>
      <c r="AS1175" s="570"/>
      <c r="AT1175" s="570"/>
      <c r="AU1175" s="570"/>
    </row>
    <row r="1176" spans="1:47" ht="15.75" customHeight="1">
      <c r="A1176" s="589"/>
      <c r="B1176" s="580"/>
      <c r="C1176" s="587"/>
      <c r="D1176" s="587"/>
      <c r="E1176" s="579"/>
      <c r="F1176" s="589"/>
      <c r="G1176" s="589"/>
      <c r="H1176" s="589"/>
      <c r="I1176" s="589"/>
      <c r="J1176" s="589"/>
      <c r="K1176" s="589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  <c r="Z1176" s="570"/>
      <c r="AA1176" s="570"/>
      <c r="AB1176" s="570"/>
      <c r="AC1176" s="570"/>
      <c r="AD1176" s="570"/>
      <c r="AE1176" s="570"/>
      <c r="AF1176" s="570"/>
      <c r="AG1176" s="570"/>
      <c r="AH1176" s="570"/>
      <c r="AI1176" s="570"/>
      <c r="AJ1176" s="570"/>
      <c r="AK1176" s="570"/>
      <c r="AL1176" s="570"/>
      <c r="AM1176" s="570"/>
      <c r="AN1176" s="570"/>
      <c r="AO1176" s="570"/>
      <c r="AP1176" s="570"/>
      <c r="AQ1176" s="570"/>
      <c r="AR1176" s="570"/>
      <c r="AS1176" s="570"/>
      <c r="AT1176" s="570"/>
      <c r="AU1176" s="570"/>
    </row>
    <row r="1177" spans="1:47" ht="15.75" customHeight="1">
      <c r="A1177" s="589"/>
      <c r="B1177" s="580"/>
      <c r="C1177" s="587"/>
      <c r="D1177" s="587"/>
      <c r="E1177" s="579"/>
      <c r="F1177" s="589"/>
      <c r="G1177" s="589"/>
      <c r="H1177" s="589"/>
      <c r="I1177" s="589"/>
      <c r="J1177" s="589"/>
      <c r="K1177" s="589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  <c r="Z1177" s="570"/>
      <c r="AA1177" s="570"/>
      <c r="AB1177" s="570"/>
      <c r="AC1177" s="570"/>
      <c r="AD1177" s="570"/>
      <c r="AE1177" s="570"/>
      <c r="AF1177" s="570"/>
      <c r="AG1177" s="570"/>
      <c r="AH1177" s="570"/>
      <c r="AI1177" s="570"/>
      <c r="AJ1177" s="570"/>
      <c r="AK1177" s="570"/>
      <c r="AL1177" s="570"/>
      <c r="AM1177" s="570"/>
      <c r="AN1177" s="570"/>
      <c r="AO1177" s="570"/>
      <c r="AP1177" s="570"/>
      <c r="AQ1177" s="570"/>
      <c r="AR1177" s="570"/>
      <c r="AS1177" s="570"/>
      <c r="AT1177" s="570"/>
      <c r="AU1177" s="570"/>
    </row>
    <row r="1178" spans="1:47" ht="15.75" customHeight="1">
      <c r="A1178" s="589"/>
      <c r="B1178" s="580"/>
      <c r="C1178" s="587"/>
      <c r="D1178" s="587"/>
      <c r="E1178" s="579"/>
      <c r="F1178" s="589"/>
      <c r="G1178" s="589"/>
      <c r="H1178" s="589"/>
      <c r="I1178" s="589"/>
      <c r="J1178" s="589"/>
      <c r="K1178" s="589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  <c r="Z1178" s="570"/>
      <c r="AA1178" s="570"/>
      <c r="AB1178" s="570"/>
      <c r="AC1178" s="570"/>
      <c r="AD1178" s="570"/>
      <c r="AE1178" s="570"/>
      <c r="AF1178" s="570"/>
      <c r="AG1178" s="570"/>
      <c r="AH1178" s="570"/>
      <c r="AI1178" s="570"/>
      <c r="AJ1178" s="570"/>
      <c r="AK1178" s="570"/>
      <c r="AL1178" s="570"/>
      <c r="AM1178" s="570"/>
      <c r="AN1178" s="570"/>
      <c r="AO1178" s="570"/>
      <c r="AP1178" s="570"/>
      <c r="AQ1178" s="570"/>
      <c r="AR1178" s="570"/>
      <c r="AS1178" s="570"/>
      <c r="AT1178" s="570"/>
      <c r="AU1178" s="570"/>
    </row>
    <row r="1179" spans="1:47" ht="15.75" customHeight="1">
      <c r="A1179" s="589"/>
      <c r="B1179" s="580"/>
      <c r="C1179" s="587"/>
      <c r="D1179" s="587"/>
      <c r="E1179" s="579"/>
      <c r="F1179" s="589"/>
      <c r="G1179" s="589"/>
      <c r="H1179" s="589"/>
      <c r="I1179" s="589"/>
      <c r="J1179" s="589"/>
      <c r="K1179" s="589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  <c r="Z1179" s="570"/>
      <c r="AA1179" s="570"/>
      <c r="AB1179" s="570"/>
      <c r="AC1179" s="570"/>
      <c r="AD1179" s="570"/>
      <c r="AE1179" s="570"/>
      <c r="AF1179" s="570"/>
      <c r="AG1179" s="570"/>
      <c r="AH1179" s="570"/>
      <c r="AI1179" s="570"/>
      <c r="AJ1179" s="570"/>
      <c r="AK1179" s="570"/>
      <c r="AL1179" s="570"/>
      <c r="AM1179" s="570"/>
      <c r="AN1179" s="570"/>
      <c r="AO1179" s="570"/>
      <c r="AP1179" s="570"/>
      <c r="AQ1179" s="570"/>
      <c r="AR1179" s="570"/>
      <c r="AS1179" s="570"/>
      <c r="AT1179" s="570"/>
      <c r="AU1179" s="570"/>
    </row>
    <row r="1180" spans="1:47" ht="15.75" customHeight="1">
      <c r="A1180" s="589"/>
      <c r="B1180" s="580"/>
      <c r="C1180" s="587"/>
      <c r="D1180" s="587"/>
      <c r="E1180" s="579"/>
      <c r="F1180" s="589"/>
      <c r="G1180" s="589"/>
      <c r="H1180" s="589"/>
      <c r="I1180" s="589"/>
      <c r="J1180" s="589"/>
      <c r="K1180" s="589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  <c r="Z1180" s="570"/>
      <c r="AA1180" s="570"/>
      <c r="AB1180" s="570"/>
      <c r="AC1180" s="570"/>
      <c r="AD1180" s="570"/>
      <c r="AE1180" s="570"/>
      <c r="AF1180" s="570"/>
      <c r="AG1180" s="570"/>
      <c r="AH1180" s="570"/>
      <c r="AI1180" s="570"/>
      <c r="AJ1180" s="570"/>
      <c r="AK1180" s="570"/>
      <c r="AL1180" s="570"/>
      <c r="AM1180" s="570"/>
      <c r="AN1180" s="570"/>
      <c r="AO1180" s="570"/>
      <c r="AP1180" s="570"/>
      <c r="AQ1180" s="570"/>
      <c r="AR1180" s="570"/>
      <c r="AS1180" s="570"/>
      <c r="AT1180" s="570"/>
      <c r="AU1180" s="570"/>
    </row>
    <row r="1181" spans="1:47" ht="15.75" customHeight="1">
      <c r="A1181" s="589"/>
      <c r="B1181" s="580"/>
      <c r="C1181" s="587"/>
      <c r="D1181" s="587"/>
      <c r="E1181" s="579"/>
      <c r="F1181" s="589"/>
      <c r="G1181" s="589"/>
      <c r="H1181" s="589"/>
      <c r="I1181" s="589"/>
      <c r="J1181" s="589"/>
      <c r="K1181" s="589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  <c r="Z1181" s="570"/>
      <c r="AA1181" s="570"/>
      <c r="AB1181" s="570"/>
      <c r="AC1181" s="570"/>
      <c r="AD1181" s="570"/>
      <c r="AE1181" s="570"/>
      <c r="AF1181" s="570"/>
      <c r="AG1181" s="570"/>
      <c r="AH1181" s="570"/>
      <c r="AI1181" s="570"/>
      <c r="AJ1181" s="570"/>
      <c r="AK1181" s="570"/>
      <c r="AL1181" s="570"/>
      <c r="AM1181" s="570"/>
      <c r="AN1181" s="570"/>
      <c r="AO1181" s="570"/>
      <c r="AP1181" s="570"/>
      <c r="AQ1181" s="570"/>
      <c r="AR1181" s="570"/>
      <c r="AS1181" s="570"/>
      <c r="AT1181" s="570"/>
      <c r="AU1181" s="570"/>
    </row>
    <row r="1182" spans="1:47" ht="15.75" customHeight="1">
      <c r="A1182" s="589"/>
      <c r="B1182" s="580"/>
      <c r="C1182" s="587"/>
      <c r="D1182" s="587"/>
      <c r="E1182" s="579"/>
      <c r="F1182" s="589"/>
      <c r="G1182" s="589"/>
      <c r="H1182" s="589"/>
      <c r="I1182" s="589"/>
      <c r="J1182" s="589"/>
      <c r="K1182" s="589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  <c r="Z1182" s="570"/>
      <c r="AA1182" s="570"/>
      <c r="AB1182" s="570"/>
      <c r="AC1182" s="570"/>
      <c r="AD1182" s="570"/>
      <c r="AE1182" s="570"/>
      <c r="AF1182" s="570"/>
      <c r="AG1182" s="570"/>
      <c r="AH1182" s="570"/>
      <c r="AI1182" s="570"/>
      <c r="AJ1182" s="570"/>
      <c r="AK1182" s="570"/>
      <c r="AL1182" s="570"/>
      <c r="AM1182" s="570"/>
      <c r="AN1182" s="570"/>
      <c r="AO1182" s="570"/>
      <c r="AP1182" s="570"/>
      <c r="AQ1182" s="570"/>
      <c r="AR1182" s="570"/>
      <c r="AS1182" s="570"/>
      <c r="AT1182" s="570"/>
      <c r="AU1182" s="570"/>
    </row>
    <row r="1183" spans="1:47" ht="15.75" customHeight="1">
      <c r="A1183" s="589"/>
      <c r="B1183" s="580"/>
      <c r="C1183" s="587"/>
      <c r="D1183" s="587"/>
      <c r="E1183" s="579"/>
      <c r="F1183" s="589"/>
      <c r="G1183" s="589"/>
      <c r="H1183" s="589"/>
      <c r="I1183" s="589"/>
      <c r="J1183" s="589"/>
      <c r="K1183" s="589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  <c r="Z1183" s="570"/>
      <c r="AA1183" s="570"/>
      <c r="AB1183" s="570"/>
      <c r="AC1183" s="570"/>
      <c r="AD1183" s="570"/>
      <c r="AE1183" s="570"/>
      <c r="AF1183" s="570"/>
      <c r="AG1183" s="570"/>
      <c r="AH1183" s="570"/>
      <c r="AI1183" s="570"/>
      <c r="AJ1183" s="570"/>
      <c r="AK1183" s="570"/>
      <c r="AL1183" s="570"/>
      <c r="AM1183" s="570"/>
      <c r="AN1183" s="570"/>
      <c r="AO1183" s="570"/>
      <c r="AP1183" s="570"/>
      <c r="AQ1183" s="570"/>
      <c r="AR1183" s="570"/>
      <c r="AS1183" s="570"/>
      <c r="AT1183" s="570"/>
      <c r="AU1183" s="570"/>
    </row>
    <row r="1184" spans="1:47" ht="15.75" customHeight="1">
      <c r="A1184" s="589"/>
      <c r="B1184" s="580"/>
      <c r="C1184" s="587"/>
      <c r="D1184" s="587"/>
      <c r="E1184" s="579"/>
      <c r="F1184" s="589"/>
      <c r="G1184" s="589"/>
      <c r="H1184" s="589"/>
      <c r="I1184" s="589"/>
      <c r="J1184" s="589"/>
      <c r="K1184" s="589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  <c r="Z1184" s="570"/>
      <c r="AA1184" s="570"/>
      <c r="AB1184" s="570"/>
      <c r="AC1184" s="570"/>
      <c r="AD1184" s="570"/>
      <c r="AE1184" s="570"/>
      <c r="AF1184" s="570"/>
      <c r="AG1184" s="570"/>
      <c r="AH1184" s="570"/>
      <c r="AI1184" s="570"/>
      <c r="AJ1184" s="570"/>
      <c r="AK1184" s="570"/>
      <c r="AL1184" s="570"/>
      <c r="AM1184" s="570"/>
      <c r="AN1184" s="570"/>
      <c r="AO1184" s="570"/>
      <c r="AP1184" s="570"/>
      <c r="AQ1184" s="570"/>
      <c r="AR1184" s="570"/>
      <c r="AS1184" s="570"/>
      <c r="AT1184" s="570"/>
      <c r="AU1184" s="570"/>
    </row>
    <row r="1185" spans="1:47" ht="15.75" customHeight="1">
      <c r="A1185" s="589"/>
      <c r="B1185" s="580"/>
      <c r="C1185" s="587"/>
      <c r="D1185" s="587"/>
      <c r="E1185" s="579"/>
      <c r="F1185" s="589"/>
      <c r="G1185" s="589"/>
      <c r="H1185" s="589"/>
      <c r="I1185" s="589"/>
      <c r="J1185" s="589"/>
      <c r="K1185" s="589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  <c r="Z1185" s="570"/>
      <c r="AA1185" s="570"/>
      <c r="AB1185" s="570"/>
      <c r="AC1185" s="570"/>
      <c r="AD1185" s="570"/>
      <c r="AE1185" s="570"/>
      <c r="AF1185" s="570"/>
      <c r="AG1185" s="570"/>
      <c r="AH1185" s="570"/>
      <c r="AI1185" s="570"/>
      <c r="AJ1185" s="570"/>
      <c r="AK1185" s="570"/>
      <c r="AL1185" s="570"/>
      <c r="AM1185" s="570"/>
      <c r="AN1185" s="570"/>
      <c r="AO1185" s="570"/>
      <c r="AP1185" s="570"/>
      <c r="AQ1185" s="570"/>
      <c r="AR1185" s="570"/>
      <c r="AS1185" s="570"/>
      <c r="AT1185" s="570"/>
      <c r="AU1185" s="570"/>
    </row>
    <row r="1186" spans="1:47" ht="15.75" customHeight="1">
      <c r="A1186" s="589"/>
      <c r="B1186" s="580"/>
      <c r="C1186" s="587"/>
      <c r="D1186" s="587"/>
      <c r="E1186" s="579"/>
      <c r="F1186" s="589"/>
      <c r="G1186" s="589"/>
      <c r="H1186" s="589"/>
      <c r="I1186" s="589"/>
      <c r="J1186" s="589"/>
      <c r="K1186" s="589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  <c r="Z1186" s="570"/>
      <c r="AA1186" s="570"/>
      <c r="AB1186" s="570"/>
      <c r="AC1186" s="570"/>
      <c r="AD1186" s="570"/>
      <c r="AE1186" s="570"/>
      <c r="AF1186" s="570"/>
      <c r="AG1186" s="570"/>
      <c r="AH1186" s="570"/>
      <c r="AI1186" s="570"/>
      <c r="AJ1186" s="570"/>
      <c r="AK1186" s="570"/>
      <c r="AL1186" s="570"/>
      <c r="AM1186" s="570"/>
      <c r="AN1186" s="570"/>
      <c r="AO1186" s="570"/>
      <c r="AP1186" s="570"/>
      <c r="AQ1186" s="570"/>
      <c r="AR1186" s="570"/>
      <c r="AS1186" s="570"/>
      <c r="AT1186" s="570"/>
      <c r="AU1186" s="570"/>
    </row>
    <row r="1187" spans="1:47" ht="15.75" customHeight="1">
      <c r="A1187" s="589"/>
      <c r="B1187" s="580"/>
      <c r="C1187" s="587"/>
      <c r="D1187" s="587"/>
      <c r="E1187" s="579"/>
      <c r="F1187" s="589"/>
      <c r="G1187" s="589"/>
      <c r="H1187" s="589"/>
      <c r="I1187" s="589"/>
      <c r="J1187" s="589"/>
      <c r="K1187" s="589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  <c r="Z1187" s="570"/>
      <c r="AA1187" s="570"/>
      <c r="AB1187" s="570"/>
      <c r="AC1187" s="570"/>
      <c r="AD1187" s="570"/>
      <c r="AE1187" s="570"/>
      <c r="AF1187" s="570"/>
      <c r="AG1187" s="570"/>
      <c r="AH1187" s="570"/>
      <c r="AI1187" s="570"/>
      <c r="AJ1187" s="570"/>
      <c r="AK1187" s="570"/>
      <c r="AL1187" s="570"/>
      <c r="AM1187" s="570"/>
      <c r="AN1187" s="570"/>
      <c r="AO1187" s="570"/>
      <c r="AP1187" s="570"/>
      <c r="AQ1187" s="570"/>
      <c r="AR1187" s="570"/>
      <c r="AS1187" s="570"/>
      <c r="AT1187" s="570"/>
      <c r="AU1187" s="570"/>
    </row>
    <row r="1188" spans="1:47" ht="15.75" customHeight="1">
      <c r="A1188" s="589"/>
      <c r="B1188" s="580"/>
      <c r="C1188" s="587"/>
      <c r="D1188" s="587"/>
      <c r="E1188" s="579"/>
      <c r="F1188" s="589"/>
      <c r="G1188" s="589"/>
      <c r="H1188" s="589"/>
      <c r="I1188" s="589"/>
      <c r="J1188" s="589"/>
      <c r="K1188" s="589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  <c r="Z1188" s="570"/>
      <c r="AA1188" s="570"/>
      <c r="AB1188" s="570"/>
      <c r="AC1188" s="570"/>
      <c r="AD1188" s="570"/>
      <c r="AE1188" s="570"/>
      <c r="AF1188" s="570"/>
      <c r="AG1188" s="570"/>
      <c r="AH1188" s="570"/>
      <c r="AI1188" s="570"/>
      <c r="AJ1188" s="570"/>
      <c r="AK1188" s="570"/>
      <c r="AL1188" s="570"/>
      <c r="AM1188" s="570"/>
      <c r="AN1188" s="570"/>
      <c r="AO1188" s="570"/>
      <c r="AP1188" s="570"/>
      <c r="AQ1188" s="570"/>
      <c r="AR1188" s="570"/>
      <c r="AS1188" s="570"/>
      <c r="AT1188" s="570"/>
      <c r="AU1188" s="570"/>
    </row>
    <row r="1189" spans="1:47" ht="15.75" customHeight="1">
      <c r="A1189" s="589"/>
      <c r="B1189" s="580"/>
      <c r="C1189" s="587"/>
      <c r="D1189" s="587"/>
      <c r="E1189" s="579"/>
      <c r="F1189" s="589"/>
      <c r="G1189" s="589"/>
      <c r="H1189" s="589"/>
      <c r="I1189" s="589"/>
      <c r="J1189" s="589"/>
      <c r="K1189" s="589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  <c r="Z1189" s="570"/>
      <c r="AA1189" s="570"/>
      <c r="AB1189" s="570"/>
      <c r="AC1189" s="570"/>
      <c r="AD1189" s="570"/>
      <c r="AE1189" s="570"/>
      <c r="AF1189" s="570"/>
      <c r="AG1189" s="570"/>
      <c r="AH1189" s="570"/>
      <c r="AI1189" s="570"/>
      <c r="AJ1189" s="570"/>
      <c r="AK1189" s="570"/>
      <c r="AL1189" s="570"/>
      <c r="AM1189" s="570"/>
      <c r="AN1189" s="570"/>
      <c r="AO1189" s="570"/>
      <c r="AP1189" s="570"/>
      <c r="AQ1189" s="570"/>
      <c r="AR1189" s="570"/>
      <c r="AS1189" s="570"/>
      <c r="AT1189" s="570"/>
      <c r="AU1189" s="570"/>
    </row>
    <row r="1190" spans="1:47" ht="15.75" customHeight="1">
      <c r="A1190" s="589"/>
      <c r="B1190" s="580"/>
      <c r="C1190" s="587"/>
      <c r="D1190" s="587"/>
      <c r="E1190" s="579"/>
      <c r="F1190" s="589"/>
      <c r="G1190" s="589"/>
      <c r="H1190" s="589"/>
      <c r="I1190" s="589"/>
      <c r="J1190" s="589"/>
      <c r="K1190" s="589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  <c r="Z1190" s="570"/>
      <c r="AA1190" s="570"/>
      <c r="AB1190" s="570"/>
      <c r="AC1190" s="570"/>
      <c r="AD1190" s="570"/>
      <c r="AE1190" s="570"/>
      <c r="AF1190" s="570"/>
      <c r="AG1190" s="570"/>
      <c r="AH1190" s="570"/>
      <c r="AI1190" s="570"/>
      <c r="AJ1190" s="570"/>
      <c r="AK1190" s="570"/>
      <c r="AL1190" s="570"/>
      <c r="AM1190" s="570"/>
      <c r="AN1190" s="570"/>
      <c r="AO1190" s="570"/>
      <c r="AP1190" s="570"/>
      <c r="AQ1190" s="570"/>
      <c r="AR1190" s="570"/>
      <c r="AS1190" s="570"/>
      <c r="AT1190" s="570"/>
      <c r="AU1190" s="570"/>
    </row>
    <row r="1191" spans="1:47" ht="15.75" customHeight="1">
      <c r="A1191" s="589"/>
      <c r="B1191" s="580"/>
      <c r="C1191" s="587"/>
      <c r="D1191" s="587"/>
      <c r="E1191" s="579"/>
      <c r="F1191" s="589"/>
      <c r="G1191" s="589"/>
      <c r="H1191" s="589"/>
      <c r="I1191" s="589"/>
      <c r="J1191" s="589"/>
      <c r="K1191" s="589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  <c r="Z1191" s="570"/>
      <c r="AA1191" s="570"/>
      <c r="AB1191" s="570"/>
      <c r="AC1191" s="570"/>
      <c r="AD1191" s="570"/>
      <c r="AE1191" s="570"/>
      <c r="AF1191" s="570"/>
      <c r="AG1191" s="570"/>
      <c r="AH1191" s="570"/>
      <c r="AI1191" s="570"/>
      <c r="AJ1191" s="570"/>
      <c r="AK1191" s="570"/>
      <c r="AL1191" s="570"/>
      <c r="AM1191" s="570"/>
      <c r="AN1191" s="570"/>
      <c r="AO1191" s="570"/>
      <c r="AP1191" s="570"/>
      <c r="AQ1191" s="570"/>
      <c r="AR1191" s="570"/>
      <c r="AS1191" s="570"/>
      <c r="AT1191" s="570"/>
      <c r="AU1191" s="570"/>
    </row>
    <row r="1192" spans="1:47" ht="15.75" customHeight="1">
      <c r="A1192" s="589"/>
      <c r="B1192" s="580"/>
      <c r="C1192" s="587"/>
      <c r="D1192" s="587"/>
      <c r="E1192" s="579"/>
      <c r="F1192" s="589"/>
      <c r="G1192" s="589"/>
      <c r="H1192" s="589"/>
      <c r="I1192" s="589"/>
      <c r="J1192" s="589"/>
      <c r="K1192" s="589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  <c r="Z1192" s="570"/>
      <c r="AA1192" s="570"/>
      <c r="AB1192" s="570"/>
      <c r="AC1192" s="570"/>
      <c r="AD1192" s="570"/>
      <c r="AE1192" s="570"/>
      <c r="AF1192" s="570"/>
      <c r="AG1192" s="570"/>
      <c r="AH1192" s="570"/>
      <c r="AI1192" s="570"/>
      <c r="AJ1192" s="570"/>
      <c r="AK1192" s="570"/>
      <c r="AL1192" s="570"/>
      <c r="AM1192" s="570"/>
      <c r="AN1192" s="570"/>
      <c r="AO1192" s="570"/>
      <c r="AP1192" s="570"/>
      <c r="AQ1192" s="570"/>
      <c r="AR1192" s="570"/>
      <c r="AS1192" s="570"/>
      <c r="AT1192" s="570"/>
      <c r="AU1192" s="570"/>
    </row>
    <row r="1193" spans="1:47" ht="15.75" customHeight="1">
      <c r="A1193" s="589"/>
      <c r="B1193" s="580"/>
      <c r="C1193" s="587"/>
      <c r="D1193" s="587"/>
      <c r="E1193" s="579"/>
      <c r="F1193" s="589"/>
      <c r="G1193" s="589"/>
      <c r="H1193" s="589"/>
      <c r="I1193" s="589"/>
      <c r="J1193" s="589"/>
      <c r="K1193" s="589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  <c r="Z1193" s="570"/>
      <c r="AA1193" s="570"/>
      <c r="AB1193" s="570"/>
      <c r="AC1193" s="570"/>
      <c r="AD1193" s="570"/>
      <c r="AE1193" s="570"/>
      <c r="AF1193" s="570"/>
      <c r="AG1193" s="570"/>
      <c r="AH1193" s="570"/>
      <c r="AI1193" s="570"/>
      <c r="AJ1193" s="570"/>
      <c r="AK1193" s="570"/>
      <c r="AL1193" s="570"/>
      <c r="AM1193" s="570"/>
      <c r="AN1193" s="570"/>
      <c r="AO1193" s="570"/>
      <c r="AP1193" s="570"/>
      <c r="AQ1193" s="570"/>
      <c r="AR1193" s="570"/>
      <c r="AS1193" s="570"/>
      <c r="AT1193" s="570"/>
      <c r="AU1193" s="570"/>
    </row>
    <row r="1194" spans="1:47" ht="15.75" customHeight="1">
      <c r="A1194" s="589"/>
      <c r="B1194" s="580"/>
      <c r="C1194" s="587"/>
      <c r="D1194" s="587"/>
      <c r="E1194" s="579"/>
      <c r="F1194" s="589"/>
      <c r="G1194" s="589"/>
      <c r="H1194" s="589"/>
      <c r="I1194" s="589"/>
      <c r="J1194" s="589"/>
      <c r="K1194" s="589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  <c r="Z1194" s="570"/>
      <c r="AA1194" s="570"/>
      <c r="AB1194" s="570"/>
      <c r="AC1194" s="570"/>
      <c r="AD1194" s="570"/>
      <c r="AE1194" s="570"/>
      <c r="AF1194" s="570"/>
      <c r="AG1194" s="570"/>
      <c r="AH1194" s="570"/>
      <c r="AI1194" s="570"/>
      <c r="AJ1194" s="570"/>
      <c r="AK1194" s="570"/>
      <c r="AL1194" s="570"/>
      <c r="AM1194" s="570"/>
      <c r="AN1194" s="570"/>
      <c r="AO1194" s="570"/>
      <c r="AP1194" s="570"/>
      <c r="AQ1194" s="570"/>
      <c r="AR1194" s="570"/>
      <c r="AS1194" s="570"/>
      <c r="AT1194" s="570"/>
      <c r="AU1194" s="570"/>
    </row>
    <row r="1195" spans="1:47" ht="15.75" customHeight="1">
      <c r="A1195" s="589"/>
      <c r="B1195" s="580"/>
      <c r="C1195" s="587"/>
      <c r="D1195" s="587"/>
      <c r="E1195" s="579"/>
      <c r="F1195" s="589"/>
      <c r="G1195" s="589"/>
      <c r="H1195" s="589"/>
      <c r="I1195" s="589"/>
      <c r="J1195" s="589"/>
      <c r="K1195" s="589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  <c r="Z1195" s="570"/>
      <c r="AA1195" s="570"/>
      <c r="AB1195" s="570"/>
      <c r="AC1195" s="570"/>
      <c r="AD1195" s="570"/>
      <c r="AE1195" s="570"/>
      <c r="AF1195" s="570"/>
      <c r="AG1195" s="570"/>
      <c r="AH1195" s="570"/>
      <c r="AI1195" s="570"/>
      <c r="AJ1195" s="570"/>
      <c r="AK1195" s="570"/>
      <c r="AL1195" s="570"/>
      <c r="AM1195" s="570"/>
      <c r="AN1195" s="570"/>
      <c r="AO1195" s="570"/>
      <c r="AP1195" s="570"/>
      <c r="AQ1195" s="570"/>
      <c r="AR1195" s="570"/>
      <c r="AS1195" s="570"/>
      <c r="AT1195" s="570"/>
      <c r="AU1195" s="570"/>
    </row>
    <row r="1196" spans="1:47" ht="15.75" customHeight="1">
      <c r="A1196" s="589"/>
      <c r="B1196" s="580"/>
      <c r="C1196" s="587"/>
      <c r="D1196" s="587"/>
      <c r="E1196" s="579"/>
      <c r="F1196" s="589"/>
      <c r="G1196" s="589"/>
      <c r="H1196" s="589"/>
      <c r="I1196" s="589"/>
      <c r="J1196" s="589"/>
      <c r="K1196" s="589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  <c r="Z1196" s="570"/>
      <c r="AA1196" s="570"/>
      <c r="AB1196" s="570"/>
      <c r="AC1196" s="570"/>
      <c r="AD1196" s="570"/>
      <c r="AE1196" s="570"/>
      <c r="AF1196" s="570"/>
      <c r="AG1196" s="570"/>
      <c r="AH1196" s="570"/>
      <c r="AI1196" s="570"/>
      <c r="AJ1196" s="570"/>
      <c r="AK1196" s="570"/>
      <c r="AL1196" s="570"/>
      <c r="AM1196" s="570"/>
      <c r="AN1196" s="570"/>
      <c r="AO1196" s="570"/>
      <c r="AP1196" s="570"/>
      <c r="AQ1196" s="570"/>
      <c r="AR1196" s="570"/>
      <c r="AS1196" s="570"/>
      <c r="AT1196" s="570"/>
      <c r="AU1196" s="570"/>
    </row>
    <row r="1197" spans="1:47" ht="15.75" customHeight="1">
      <c r="A1197" s="589"/>
      <c r="B1197" s="580"/>
      <c r="C1197" s="587"/>
      <c r="D1197" s="587"/>
      <c r="E1197" s="579"/>
      <c r="F1197" s="589"/>
      <c r="G1197" s="589"/>
      <c r="H1197" s="589"/>
      <c r="I1197" s="589"/>
      <c r="J1197" s="589"/>
      <c r="K1197" s="589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  <c r="Z1197" s="570"/>
      <c r="AA1197" s="570"/>
      <c r="AB1197" s="570"/>
      <c r="AC1197" s="570"/>
      <c r="AD1197" s="570"/>
      <c r="AE1197" s="570"/>
      <c r="AF1197" s="570"/>
      <c r="AG1197" s="570"/>
      <c r="AH1197" s="570"/>
      <c r="AI1197" s="570"/>
      <c r="AJ1197" s="570"/>
      <c r="AK1197" s="570"/>
      <c r="AL1197" s="570"/>
      <c r="AM1197" s="570"/>
      <c r="AN1197" s="570"/>
      <c r="AO1197" s="570"/>
      <c r="AP1197" s="570"/>
      <c r="AQ1197" s="570"/>
      <c r="AR1197" s="570"/>
      <c r="AS1197" s="570"/>
      <c r="AT1197" s="570"/>
      <c r="AU1197" s="570"/>
    </row>
    <row r="1198" spans="1:47" ht="15.75" customHeight="1">
      <c r="A1198" s="589"/>
      <c r="B1198" s="580"/>
      <c r="C1198" s="587"/>
      <c r="D1198" s="587"/>
      <c r="E1198" s="579"/>
      <c r="F1198" s="589"/>
      <c r="G1198" s="589"/>
      <c r="H1198" s="589"/>
      <c r="I1198" s="589"/>
      <c r="J1198" s="589"/>
      <c r="K1198" s="589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  <c r="Z1198" s="570"/>
      <c r="AA1198" s="570"/>
      <c r="AB1198" s="570"/>
      <c r="AC1198" s="570"/>
      <c r="AD1198" s="570"/>
      <c r="AE1198" s="570"/>
      <c r="AF1198" s="570"/>
      <c r="AG1198" s="570"/>
      <c r="AH1198" s="570"/>
      <c r="AI1198" s="570"/>
      <c r="AJ1198" s="570"/>
      <c r="AK1198" s="570"/>
      <c r="AL1198" s="570"/>
      <c r="AM1198" s="570"/>
      <c r="AN1198" s="570"/>
      <c r="AO1198" s="570"/>
      <c r="AP1198" s="570"/>
      <c r="AQ1198" s="570"/>
      <c r="AR1198" s="570"/>
      <c r="AS1198" s="570"/>
      <c r="AT1198" s="570"/>
      <c r="AU1198" s="570"/>
    </row>
    <row r="1199" spans="1:47" ht="15.75" customHeight="1">
      <c r="A1199" s="589"/>
      <c r="B1199" s="580"/>
      <c r="C1199" s="587"/>
      <c r="D1199" s="587"/>
      <c r="E1199" s="579"/>
      <c r="F1199" s="589"/>
      <c r="G1199" s="589"/>
      <c r="H1199" s="589"/>
      <c r="I1199" s="589"/>
      <c r="J1199" s="589"/>
      <c r="K1199" s="589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  <c r="Z1199" s="570"/>
      <c r="AA1199" s="570"/>
      <c r="AB1199" s="570"/>
      <c r="AC1199" s="570"/>
      <c r="AD1199" s="570"/>
      <c r="AE1199" s="570"/>
      <c r="AF1199" s="570"/>
      <c r="AG1199" s="570"/>
      <c r="AH1199" s="570"/>
      <c r="AI1199" s="570"/>
      <c r="AJ1199" s="570"/>
      <c r="AK1199" s="570"/>
      <c r="AL1199" s="570"/>
      <c r="AM1199" s="570"/>
      <c r="AN1199" s="570"/>
      <c r="AO1199" s="570"/>
      <c r="AP1199" s="570"/>
      <c r="AQ1199" s="570"/>
      <c r="AR1199" s="570"/>
      <c r="AS1199" s="570"/>
      <c r="AT1199" s="570"/>
      <c r="AU1199" s="570"/>
    </row>
    <row r="1200" spans="1:47" ht="15.75" customHeight="1">
      <c r="A1200" s="589"/>
      <c r="B1200" s="580"/>
      <c r="C1200" s="587"/>
      <c r="D1200" s="587"/>
      <c r="E1200" s="579"/>
      <c r="F1200" s="589"/>
      <c r="G1200" s="589"/>
      <c r="H1200" s="589"/>
      <c r="I1200" s="589"/>
      <c r="J1200" s="589"/>
      <c r="K1200" s="589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  <c r="Z1200" s="570"/>
      <c r="AA1200" s="570"/>
      <c r="AB1200" s="570"/>
      <c r="AC1200" s="570"/>
      <c r="AD1200" s="570"/>
      <c r="AE1200" s="570"/>
      <c r="AF1200" s="570"/>
      <c r="AG1200" s="570"/>
      <c r="AH1200" s="570"/>
      <c r="AI1200" s="570"/>
      <c r="AJ1200" s="570"/>
      <c r="AK1200" s="570"/>
      <c r="AL1200" s="570"/>
      <c r="AM1200" s="570"/>
      <c r="AN1200" s="570"/>
      <c r="AO1200" s="570"/>
      <c r="AP1200" s="570"/>
      <c r="AQ1200" s="570"/>
      <c r="AR1200" s="570"/>
      <c r="AS1200" s="570"/>
      <c r="AT1200" s="570"/>
      <c r="AU1200" s="570"/>
    </row>
    <row r="1201" spans="1:47" ht="15.75" customHeight="1">
      <c r="A1201" s="589"/>
      <c r="B1201" s="580"/>
      <c r="C1201" s="587"/>
      <c r="D1201" s="587"/>
      <c r="E1201" s="579"/>
      <c r="F1201" s="589"/>
      <c r="G1201" s="589"/>
      <c r="H1201" s="589"/>
      <c r="I1201" s="589"/>
      <c r="J1201" s="589"/>
      <c r="K1201" s="589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  <c r="Z1201" s="570"/>
      <c r="AA1201" s="570"/>
      <c r="AB1201" s="570"/>
      <c r="AC1201" s="570"/>
      <c r="AD1201" s="570"/>
      <c r="AE1201" s="570"/>
      <c r="AF1201" s="570"/>
      <c r="AG1201" s="570"/>
      <c r="AH1201" s="570"/>
      <c r="AI1201" s="570"/>
      <c r="AJ1201" s="570"/>
      <c r="AK1201" s="570"/>
      <c r="AL1201" s="570"/>
      <c r="AM1201" s="570"/>
      <c r="AN1201" s="570"/>
      <c r="AO1201" s="570"/>
      <c r="AP1201" s="570"/>
      <c r="AQ1201" s="570"/>
      <c r="AR1201" s="570"/>
      <c r="AS1201" s="570"/>
      <c r="AT1201" s="570"/>
      <c r="AU1201" s="570"/>
    </row>
    <row r="1202" spans="1:47" ht="15.75" customHeight="1">
      <c r="A1202" s="589"/>
      <c r="B1202" s="580"/>
      <c r="C1202" s="587"/>
      <c r="D1202" s="587"/>
      <c r="E1202" s="579"/>
      <c r="F1202" s="589"/>
      <c r="G1202" s="589"/>
      <c r="H1202" s="589"/>
      <c r="I1202" s="589"/>
      <c r="J1202" s="589"/>
      <c r="K1202" s="589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  <c r="Z1202" s="570"/>
      <c r="AA1202" s="570"/>
      <c r="AB1202" s="570"/>
      <c r="AC1202" s="570"/>
      <c r="AD1202" s="570"/>
      <c r="AE1202" s="570"/>
      <c r="AF1202" s="570"/>
      <c r="AG1202" s="570"/>
      <c r="AH1202" s="570"/>
      <c r="AI1202" s="570"/>
      <c r="AJ1202" s="570"/>
      <c r="AK1202" s="570"/>
      <c r="AL1202" s="570"/>
      <c r="AM1202" s="570"/>
      <c r="AN1202" s="570"/>
      <c r="AO1202" s="570"/>
      <c r="AP1202" s="570"/>
      <c r="AQ1202" s="570"/>
      <c r="AR1202" s="570"/>
      <c r="AS1202" s="570"/>
      <c r="AT1202" s="570"/>
      <c r="AU1202" s="570"/>
    </row>
    <row r="1203" spans="1:47" ht="15.75" customHeight="1">
      <c r="A1203" s="589"/>
      <c r="B1203" s="580"/>
      <c r="C1203" s="587"/>
      <c r="D1203" s="587"/>
      <c r="E1203" s="579"/>
      <c r="F1203" s="589"/>
      <c r="G1203" s="589"/>
      <c r="H1203" s="589"/>
      <c r="I1203" s="589"/>
      <c r="J1203" s="589"/>
      <c r="K1203" s="589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  <c r="Z1203" s="570"/>
      <c r="AA1203" s="570"/>
      <c r="AB1203" s="570"/>
      <c r="AC1203" s="570"/>
      <c r="AD1203" s="570"/>
      <c r="AE1203" s="570"/>
      <c r="AF1203" s="570"/>
      <c r="AG1203" s="570"/>
      <c r="AH1203" s="570"/>
      <c r="AI1203" s="570"/>
      <c r="AJ1203" s="570"/>
      <c r="AK1203" s="570"/>
      <c r="AL1203" s="570"/>
      <c r="AM1203" s="570"/>
      <c r="AN1203" s="570"/>
      <c r="AO1203" s="570"/>
      <c r="AP1203" s="570"/>
      <c r="AQ1203" s="570"/>
      <c r="AR1203" s="570"/>
      <c r="AS1203" s="570"/>
      <c r="AT1203" s="570"/>
      <c r="AU1203" s="570"/>
    </row>
    <row r="1204" spans="1:47" ht="15.75" customHeight="1">
      <c r="A1204" s="589"/>
      <c r="B1204" s="580"/>
      <c r="C1204" s="587"/>
      <c r="D1204" s="587"/>
      <c r="E1204" s="579"/>
      <c r="F1204" s="589"/>
      <c r="G1204" s="589"/>
      <c r="H1204" s="589"/>
      <c r="I1204" s="589"/>
      <c r="J1204" s="589"/>
      <c r="K1204" s="589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  <c r="Z1204" s="570"/>
      <c r="AA1204" s="570"/>
      <c r="AB1204" s="570"/>
      <c r="AC1204" s="570"/>
      <c r="AD1204" s="570"/>
      <c r="AE1204" s="570"/>
      <c r="AF1204" s="570"/>
      <c r="AG1204" s="570"/>
      <c r="AH1204" s="570"/>
      <c r="AI1204" s="570"/>
      <c r="AJ1204" s="570"/>
      <c r="AK1204" s="570"/>
      <c r="AL1204" s="570"/>
      <c r="AM1204" s="570"/>
      <c r="AN1204" s="570"/>
      <c r="AO1204" s="570"/>
      <c r="AP1204" s="570"/>
      <c r="AQ1204" s="570"/>
      <c r="AR1204" s="570"/>
      <c r="AS1204" s="570"/>
      <c r="AT1204" s="570"/>
      <c r="AU1204" s="570"/>
    </row>
    <row r="1205" spans="1:47" ht="15.75" customHeight="1">
      <c r="A1205" s="589"/>
      <c r="B1205" s="580"/>
      <c r="C1205" s="587"/>
      <c r="D1205" s="587"/>
      <c r="E1205" s="579"/>
      <c r="F1205" s="589"/>
      <c r="G1205" s="589"/>
      <c r="H1205" s="589"/>
      <c r="I1205" s="589"/>
      <c r="J1205" s="589"/>
      <c r="K1205" s="589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  <c r="Z1205" s="570"/>
      <c r="AA1205" s="570"/>
      <c r="AB1205" s="570"/>
      <c r="AC1205" s="570"/>
      <c r="AD1205" s="570"/>
      <c r="AE1205" s="570"/>
      <c r="AF1205" s="570"/>
      <c r="AG1205" s="570"/>
      <c r="AH1205" s="570"/>
      <c r="AI1205" s="570"/>
      <c r="AJ1205" s="570"/>
      <c r="AK1205" s="570"/>
      <c r="AL1205" s="570"/>
      <c r="AM1205" s="570"/>
      <c r="AN1205" s="570"/>
      <c r="AO1205" s="570"/>
      <c r="AP1205" s="570"/>
      <c r="AQ1205" s="570"/>
      <c r="AR1205" s="570"/>
      <c r="AS1205" s="570"/>
      <c r="AT1205" s="570"/>
      <c r="AU1205" s="570"/>
    </row>
    <row r="1206" spans="1:47" ht="15.75" customHeight="1">
      <c r="A1206" s="589"/>
      <c r="B1206" s="580"/>
      <c r="C1206" s="587"/>
      <c r="D1206" s="587"/>
      <c r="E1206" s="579"/>
      <c r="F1206" s="589"/>
      <c r="G1206" s="589"/>
      <c r="H1206" s="589"/>
      <c r="I1206" s="589"/>
      <c r="J1206" s="589"/>
      <c r="K1206" s="589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  <c r="Z1206" s="570"/>
      <c r="AA1206" s="570"/>
      <c r="AB1206" s="570"/>
      <c r="AC1206" s="570"/>
      <c r="AD1206" s="570"/>
      <c r="AE1206" s="570"/>
      <c r="AF1206" s="570"/>
      <c r="AG1206" s="570"/>
      <c r="AH1206" s="570"/>
      <c r="AI1206" s="570"/>
      <c r="AJ1206" s="570"/>
      <c r="AK1206" s="570"/>
      <c r="AL1206" s="570"/>
      <c r="AM1206" s="570"/>
      <c r="AN1206" s="570"/>
      <c r="AO1206" s="570"/>
      <c r="AP1206" s="570"/>
      <c r="AQ1206" s="570"/>
      <c r="AR1206" s="570"/>
      <c r="AS1206" s="570"/>
      <c r="AT1206" s="570"/>
      <c r="AU1206" s="570"/>
    </row>
    <row r="1207" spans="1:47" ht="15.75" customHeight="1">
      <c r="A1207" s="589"/>
      <c r="B1207" s="580"/>
      <c r="C1207" s="587"/>
      <c r="D1207" s="587"/>
      <c r="E1207" s="579"/>
      <c r="F1207" s="589"/>
      <c r="G1207" s="589"/>
      <c r="H1207" s="589"/>
      <c r="I1207" s="589"/>
      <c r="J1207" s="589"/>
      <c r="K1207" s="589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  <c r="Z1207" s="570"/>
      <c r="AA1207" s="570"/>
      <c r="AB1207" s="570"/>
      <c r="AC1207" s="570"/>
      <c r="AD1207" s="570"/>
      <c r="AE1207" s="570"/>
      <c r="AF1207" s="570"/>
      <c r="AG1207" s="570"/>
      <c r="AH1207" s="570"/>
      <c r="AI1207" s="570"/>
      <c r="AJ1207" s="570"/>
      <c r="AK1207" s="570"/>
      <c r="AL1207" s="570"/>
      <c r="AM1207" s="570"/>
      <c r="AN1207" s="570"/>
      <c r="AO1207" s="570"/>
      <c r="AP1207" s="570"/>
      <c r="AQ1207" s="570"/>
      <c r="AR1207" s="570"/>
      <c r="AS1207" s="570"/>
      <c r="AT1207" s="570"/>
      <c r="AU1207" s="570"/>
    </row>
    <row r="1208" spans="1:47" ht="15.75" customHeight="1">
      <c r="A1208" s="589"/>
      <c r="B1208" s="580"/>
      <c r="C1208" s="587"/>
      <c r="D1208" s="587"/>
      <c r="E1208" s="579"/>
      <c r="F1208" s="589"/>
      <c r="G1208" s="589"/>
      <c r="H1208" s="589"/>
      <c r="I1208" s="589"/>
      <c r="J1208" s="589"/>
      <c r="K1208" s="589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  <c r="Z1208" s="570"/>
      <c r="AA1208" s="570"/>
      <c r="AB1208" s="570"/>
      <c r="AC1208" s="570"/>
      <c r="AD1208" s="570"/>
      <c r="AE1208" s="570"/>
      <c r="AF1208" s="570"/>
      <c r="AG1208" s="570"/>
      <c r="AH1208" s="570"/>
      <c r="AI1208" s="570"/>
      <c r="AJ1208" s="570"/>
      <c r="AK1208" s="570"/>
      <c r="AL1208" s="570"/>
      <c r="AM1208" s="570"/>
      <c r="AN1208" s="570"/>
      <c r="AO1208" s="570"/>
      <c r="AP1208" s="570"/>
      <c r="AQ1208" s="570"/>
      <c r="AR1208" s="570"/>
      <c r="AS1208" s="570"/>
      <c r="AT1208" s="570"/>
      <c r="AU1208" s="570"/>
    </row>
    <row r="1209" spans="1:47" ht="15.75" customHeight="1">
      <c r="A1209" s="589"/>
      <c r="B1209" s="580"/>
      <c r="C1209" s="587"/>
      <c r="D1209" s="587"/>
      <c r="E1209" s="579"/>
      <c r="F1209" s="589"/>
      <c r="G1209" s="589"/>
      <c r="H1209" s="589"/>
      <c r="I1209" s="589"/>
      <c r="J1209" s="589"/>
      <c r="K1209" s="589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  <c r="Z1209" s="570"/>
      <c r="AA1209" s="570"/>
      <c r="AB1209" s="570"/>
      <c r="AC1209" s="570"/>
      <c r="AD1209" s="570"/>
      <c r="AE1209" s="570"/>
      <c r="AF1209" s="570"/>
      <c r="AG1209" s="570"/>
      <c r="AH1209" s="570"/>
      <c r="AI1209" s="570"/>
      <c r="AJ1209" s="570"/>
      <c r="AK1209" s="570"/>
      <c r="AL1209" s="570"/>
      <c r="AM1209" s="570"/>
      <c r="AN1209" s="570"/>
      <c r="AO1209" s="570"/>
      <c r="AP1209" s="570"/>
      <c r="AQ1209" s="570"/>
      <c r="AR1209" s="570"/>
      <c r="AS1209" s="570"/>
      <c r="AT1209" s="570"/>
      <c r="AU1209" s="570"/>
    </row>
    <row r="1210" spans="1:47" ht="15.75" customHeight="1">
      <c r="A1210" s="589"/>
      <c r="B1210" s="580"/>
      <c r="C1210" s="587"/>
      <c r="D1210" s="587"/>
      <c r="E1210" s="579"/>
      <c r="F1210" s="589"/>
      <c r="G1210" s="589"/>
      <c r="H1210" s="589"/>
      <c r="I1210" s="589"/>
      <c r="J1210" s="589"/>
      <c r="K1210" s="589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  <c r="Z1210" s="570"/>
      <c r="AA1210" s="570"/>
      <c r="AB1210" s="570"/>
      <c r="AC1210" s="570"/>
      <c r="AD1210" s="570"/>
      <c r="AE1210" s="570"/>
      <c r="AF1210" s="570"/>
      <c r="AG1210" s="570"/>
      <c r="AH1210" s="570"/>
      <c r="AI1210" s="570"/>
      <c r="AJ1210" s="570"/>
      <c r="AK1210" s="570"/>
      <c r="AL1210" s="570"/>
      <c r="AM1210" s="570"/>
      <c r="AN1210" s="570"/>
      <c r="AO1210" s="570"/>
      <c r="AP1210" s="570"/>
      <c r="AQ1210" s="570"/>
      <c r="AR1210" s="570"/>
      <c r="AS1210" s="570"/>
      <c r="AT1210" s="570"/>
      <c r="AU1210" s="570"/>
    </row>
    <row r="1211" spans="1:47" ht="15.75" customHeight="1">
      <c r="A1211" s="589"/>
      <c r="B1211" s="580"/>
      <c r="C1211" s="587"/>
      <c r="D1211" s="587"/>
      <c r="E1211" s="579"/>
      <c r="F1211" s="589"/>
      <c r="G1211" s="589"/>
      <c r="H1211" s="589"/>
      <c r="I1211" s="589"/>
      <c r="J1211" s="589"/>
      <c r="K1211" s="589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  <c r="Z1211" s="570"/>
      <c r="AA1211" s="570"/>
      <c r="AB1211" s="570"/>
      <c r="AC1211" s="570"/>
      <c r="AD1211" s="570"/>
      <c r="AE1211" s="570"/>
      <c r="AF1211" s="570"/>
      <c r="AG1211" s="570"/>
      <c r="AH1211" s="570"/>
      <c r="AI1211" s="570"/>
      <c r="AJ1211" s="570"/>
      <c r="AK1211" s="570"/>
      <c r="AL1211" s="570"/>
      <c r="AM1211" s="570"/>
      <c r="AN1211" s="570"/>
      <c r="AO1211" s="570"/>
      <c r="AP1211" s="570"/>
      <c r="AQ1211" s="570"/>
      <c r="AR1211" s="570"/>
      <c r="AS1211" s="570"/>
      <c r="AT1211" s="570"/>
      <c r="AU1211" s="570"/>
    </row>
    <row r="1212" spans="1:47" ht="15.75" customHeight="1">
      <c r="A1212" s="589"/>
      <c r="B1212" s="580"/>
      <c r="C1212" s="587"/>
      <c r="D1212" s="587"/>
      <c r="E1212" s="579"/>
      <c r="F1212" s="589"/>
      <c r="G1212" s="589"/>
      <c r="H1212" s="589"/>
      <c r="I1212" s="589"/>
      <c r="J1212" s="589"/>
      <c r="K1212" s="589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  <c r="Z1212" s="570"/>
      <c r="AA1212" s="570"/>
      <c r="AB1212" s="570"/>
      <c r="AC1212" s="570"/>
      <c r="AD1212" s="570"/>
      <c r="AE1212" s="570"/>
      <c r="AF1212" s="570"/>
      <c r="AG1212" s="570"/>
      <c r="AH1212" s="570"/>
      <c r="AI1212" s="570"/>
      <c r="AJ1212" s="570"/>
      <c r="AK1212" s="570"/>
      <c r="AL1212" s="570"/>
      <c r="AM1212" s="570"/>
      <c r="AN1212" s="570"/>
      <c r="AO1212" s="570"/>
      <c r="AP1212" s="570"/>
      <c r="AQ1212" s="570"/>
      <c r="AR1212" s="570"/>
      <c r="AS1212" s="570"/>
      <c r="AT1212" s="570"/>
      <c r="AU1212" s="570"/>
    </row>
    <row r="1213" spans="1:47" ht="15.75" customHeight="1">
      <c r="A1213" s="589"/>
      <c r="B1213" s="580"/>
      <c r="C1213" s="587"/>
      <c r="D1213" s="587"/>
      <c r="E1213" s="579"/>
      <c r="F1213" s="589"/>
      <c r="G1213" s="589"/>
      <c r="H1213" s="589"/>
      <c r="I1213" s="589"/>
      <c r="J1213" s="589"/>
      <c r="K1213" s="589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  <c r="Z1213" s="570"/>
      <c r="AA1213" s="570"/>
      <c r="AB1213" s="570"/>
      <c r="AC1213" s="570"/>
      <c r="AD1213" s="570"/>
      <c r="AE1213" s="570"/>
      <c r="AF1213" s="570"/>
      <c r="AG1213" s="570"/>
      <c r="AH1213" s="570"/>
      <c r="AI1213" s="570"/>
      <c r="AJ1213" s="570"/>
      <c r="AK1213" s="570"/>
      <c r="AL1213" s="570"/>
      <c r="AM1213" s="570"/>
      <c r="AN1213" s="570"/>
      <c r="AO1213" s="570"/>
      <c r="AP1213" s="570"/>
      <c r="AQ1213" s="570"/>
      <c r="AR1213" s="570"/>
      <c r="AS1213" s="570"/>
      <c r="AT1213" s="570"/>
      <c r="AU1213" s="570"/>
    </row>
    <row r="1214" spans="1:47" ht="15.75" customHeight="1">
      <c r="A1214" s="589"/>
      <c r="B1214" s="580"/>
      <c r="C1214" s="587"/>
      <c r="D1214" s="587"/>
      <c r="E1214" s="579"/>
      <c r="F1214" s="589"/>
      <c r="G1214" s="589"/>
      <c r="H1214" s="589"/>
      <c r="I1214" s="589"/>
      <c r="J1214" s="589"/>
      <c r="K1214" s="589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  <c r="Z1214" s="570"/>
      <c r="AA1214" s="570"/>
      <c r="AB1214" s="570"/>
      <c r="AC1214" s="570"/>
      <c r="AD1214" s="570"/>
      <c r="AE1214" s="570"/>
      <c r="AF1214" s="570"/>
      <c r="AG1214" s="570"/>
      <c r="AH1214" s="570"/>
      <c r="AI1214" s="570"/>
      <c r="AJ1214" s="570"/>
      <c r="AK1214" s="570"/>
      <c r="AL1214" s="570"/>
      <c r="AM1214" s="570"/>
      <c r="AN1214" s="570"/>
      <c r="AO1214" s="570"/>
      <c r="AP1214" s="570"/>
      <c r="AQ1214" s="570"/>
      <c r="AR1214" s="570"/>
      <c r="AS1214" s="570"/>
      <c r="AT1214" s="570"/>
      <c r="AU1214" s="570"/>
    </row>
    <row r="1215" spans="1:47" ht="15.75" customHeight="1">
      <c r="A1215" s="589"/>
      <c r="B1215" s="580"/>
      <c r="C1215" s="587"/>
      <c r="D1215" s="587"/>
      <c r="E1215" s="579"/>
      <c r="F1215" s="589"/>
      <c r="G1215" s="589"/>
      <c r="H1215" s="589"/>
      <c r="I1215" s="589"/>
      <c r="J1215" s="589"/>
      <c r="K1215" s="589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  <c r="Z1215" s="570"/>
      <c r="AA1215" s="570"/>
      <c r="AB1215" s="570"/>
      <c r="AC1215" s="570"/>
      <c r="AD1215" s="570"/>
      <c r="AE1215" s="570"/>
      <c r="AF1215" s="570"/>
      <c r="AG1215" s="570"/>
      <c r="AH1215" s="570"/>
      <c r="AI1215" s="570"/>
      <c r="AJ1215" s="570"/>
      <c r="AK1215" s="570"/>
      <c r="AL1215" s="570"/>
      <c r="AM1215" s="570"/>
      <c r="AN1215" s="570"/>
      <c r="AO1215" s="570"/>
      <c r="AP1215" s="570"/>
      <c r="AQ1215" s="570"/>
      <c r="AR1215" s="570"/>
      <c r="AS1215" s="570"/>
      <c r="AT1215" s="570"/>
      <c r="AU1215" s="570"/>
    </row>
    <row r="1216" spans="1:47" ht="15.75" customHeight="1">
      <c r="A1216" s="589"/>
      <c r="B1216" s="580"/>
      <c r="C1216" s="587"/>
      <c r="D1216" s="587"/>
      <c r="E1216" s="579"/>
      <c r="F1216" s="589"/>
      <c r="G1216" s="589"/>
      <c r="H1216" s="589"/>
      <c r="I1216" s="589"/>
      <c r="J1216" s="589"/>
      <c r="K1216" s="589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  <c r="Z1216" s="570"/>
      <c r="AA1216" s="570"/>
      <c r="AB1216" s="570"/>
      <c r="AC1216" s="570"/>
      <c r="AD1216" s="570"/>
      <c r="AE1216" s="570"/>
      <c r="AF1216" s="570"/>
      <c r="AG1216" s="570"/>
      <c r="AH1216" s="570"/>
      <c r="AI1216" s="570"/>
      <c r="AJ1216" s="570"/>
      <c r="AK1216" s="570"/>
      <c r="AL1216" s="570"/>
      <c r="AM1216" s="570"/>
      <c r="AN1216" s="570"/>
      <c r="AO1216" s="570"/>
      <c r="AP1216" s="570"/>
      <c r="AQ1216" s="570"/>
      <c r="AR1216" s="570"/>
      <c r="AS1216" s="570"/>
      <c r="AT1216" s="570"/>
      <c r="AU1216" s="570"/>
    </row>
    <row r="1217" spans="1:47" ht="15.75" customHeight="1">
      <c r="A1217" s="589"/>
      <c r="B1217" s="580"/>
      <c r="C1217" s="587"/>
      <c r="D1217" s="587"/>
      <c r="E1217" s="579"/>
      <c r="F1217" s="589"/>
      <c r="G1217" s="589"/>
      <c r="H1217" s="589"/>
      <c r="I1217" s="589"/>
      <c r="J1217" s="589"/>
      <c r="K1217" s="589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  <c r="Z1217" s="570"/>
      <c r="AA1217" s="570"/>
      <c r="AB1217" s="570"/>
      <c r="AC1217" s="570"/>
      <c r="AD1217" s="570"/>
      <c r="AE1217" s="570"/>
      <c r="AF1217" s="570"/>
      <c r="AG1217" s="570"/>
      <c r="AH1217" s="570"/>
      <c r="AI1217" s="570"/>
      <c r="AJ1217" s="570"/>
      <c r="AK1217" s="570"/>
      <c r="AL1217" s="570"/>
      <c r="AM1217" s="570"/>
      <c r="AN1217" s="570"/>
      <c r="AO1217" s="570"/>
      <c r="AP1217" s="570"/>
      <c r="AQ1217" s="570"/>
      <c r="AR1217" s="570"/>
      <c r="AS1217" s="570"/>
      <c r="AT1217" s="570"/>
      <c r="AU1217" s="570"/>
    </row>
    <row r="1218" spans="1:47" ht="15.75" customHeight="1">
      <c r="A1218" s="589"/>
      <c r="B1218" s="580"/>
      <c r="C1218" s="587"/>
      <c r="D1218" s="587"/>
      <c r="E1218" s="579"/>
      <c r="F1218" s="589"/>
      <c r="G1218" s="589"/>
      <c r="H1218" s="589"/>
      <c r="I1218" s="589"/>
      <c r="J1218" s="589"/>
      <c r="K1218" s="589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  <c r="Z1218" s="570"/>
      <c r="AA1218" s="570"/>
      <c r="AB1218" s="570"/>
      <c r="AC1218" s="570"/>
      <c r="AD1218" s="570"/>
      <c r="AE1218" s="570"/>
      <c r="AF1218" s="570"/>
      <c r="AG1218" s="570"/>
      <c r="AH1218" s="570"/>
      <c r="AI1218" s="570"/>
      <c r="AJ1218" s="570"/>
      <c r="AK1218" s="570"/>
      <c r="AL1218" s="570"/>
      <c r="AM1218" s="570"/>
      <c r="AN1218" s="570"/>
      <c r="AO1218" s="570"/>
      <c r="AP1218" s="570"/>
      <c r="AQ1218" s="570"/>
      <c r="AR1218" s="570"/>
      <c r="AS1218" s="570"/>
      <c r="AT1218" s="570"/>
      <c r="AU1218" s="570"/>
    </row>
    <row r="1219" spans="1:47" ht="15.75" customHeight="1">
      <c r="A1219" s="589"/>
      <c r="B1219" s="580"/>
      <c r="C1219" s="587"/>
      <c r="D1219" s="587"/>
      <c r="E1219" s="579"/>
      <c r="F1219" s="589"/>
      <c r="G1219" s="589"/>
      <c r="H1219" s="589"/>
      <c r="I1219" s="589"/>
      <c r="J1219" s="589"/>
      <c r="K1219" s="589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  <c r="Z1219" s="570"/>
      <c r="AA1219" s="570"/>
      <c r="AB1219" s="570"/>
      <c r="AC1219" s="570"/>
      <c r="AD1219" s="570"/>
      <c r="AE1219" s="570"/>
      <c r="AF1219" s="570"/>
      <c r="AG1219" s="570"/>
      <c r="AH1219" s="570"/>
      <c r="AI1219" s="570"/>
      <c r="AJ1219" s="570"/>
      <c r="AK1219" s="570"/>
      <c r="AL1219" s="570"/>
      <c r="AM1219" s="570"/>
      <c r="AN1219" s="570"/>
      <c r="AO1219" s="570"/>
      <c r="AP1219" s="570"/>
      <c r="AQ1219" s="570"/>
      <c r="AR1219" s="570"/>
      <c r="AS1219" s="570"/>
      <c r="AT1219" s="570"/>
      <c r="AU1219" s="570"/>
    </row>
    <row r="1220" spans="1:47" ht="15.75" customHeight="1">
      <c r="A1220" s="589"/>
      <c r="B1220" s="580"/>
      <c r="C1220" s="587"/>
      <c r="D1220" s="587"/>
      <c r="E1220" s="579"/>
      <c r="F1220" s="589"/>
      <c r="G1220" s="589"/>
      <c r="H1220" s="589"/>
      <c r="I1220" s="589"/>
      <c r="J1220" s="589"/>
      <c r="K1220" s="589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  <c r="Z1220" s="570"/>
      <c r="AA1220" s="570"/>
      <c r="AB1220" s="570"/>
      <c r="AC1220" s="570"/>
      <c r="AD1220" s="570"/>
      <c r="AE1220" s="570"/>
      <c r="AF1220" s="570"/>
      <c r="AG1220" s="570"/>
      <c r="AH1220" s="570"/>
      <c r="AI1220" s="570"/>
      <c r="AJ1220" s="570"/>
      <c r="AK1220" s="570"/>
      <c r="AL1220" s="570"/>
      <c r="AM1220" s="570"/>
      <c r="AN1220" s="570"/>
      <c r="AO1220" s="570"/>
      <c r="AP1220" s="570"/>
      <c r="AQ1220" s="570"/>
      <c r="AR1220" s="570"/>
      <c r="AS1220" s="570"/>
      <c r="AT1220" s="570"/>
      <c r="AU1220" s="570"/>
    </row>
    <row r="1221" spans="1:47" ht="15.75" customHeight="1">
      <c r="A1221" s="589"/>
      <c r="B1221" s="580"/>
      <c r="C1221" s="587"/>
      <c r="D1221" s="587"/>
      <c r="E1221" s="579"/>
      <c r="F1221" s="589"/>
      <c r="G1221" s="589"/>
      <c r="H1221" s="589"/>
      <c r="I1221" s="589"/>
      <c r="J1221" s="589"/>
      <c r="K1221" s="589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  <c r="Z1221" s="570"/>
      <c r="AA1221" s="570"/>
      <c r="AB1221" s="570"/>
      <c r="AC1221" s="570"/>
      <c r="AD1221" s="570"/>
      <c r="AE1221" s="570"/>
      <c r="AF1221" s="570"/>
      <c r="AG1221" s="570"/>
      <c r="AH1221" s="570"/>
      <c r="AI1221" s="570"/>
      <c r="AJ1221" s="570"/>
      <c r="AK1221" s="570"/>
      <c r="AL1221" s="570"/>
      <c r="AM1221" s="570"/>
      <c r="AN1221" s="570"/>
      <c r="AO1221" s="570"/>
      <c r="AP1221" s="570"/>
      <c r="AQ1221" s="570"/>
      <c r="AR1221" s="570"/>
      <c r="AS1221" s="570"/>
      <c r="AT1221" s="570"/>
      <c r="AU1221" s="570"/>
    </row>
    <row r="1222" spans="1:47" ht="15.75" customHeight="1">
      <c r="A1222" s="589"/>
      <c r="B1222" s="580"/>
      <c r="C1222" s="587"/>
      <c r="D1222" s="587"/>
      <c r="E1222" s="579"/>
      <c r="F1222" s="589"/>
      <c r="G1222" s="589"/>
      <c r="H1222" s="589"/>
      <c r="I1222" s="589"/>
      <c r="J1222" s="589"/>
      <c r="K1222" s="589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  <c r="Z1222" s="570"/>
      <c r="AA1222" s="570"/>
      <c r="AB1222" s="570"/>
      <c r="AC1222" s="570"/>
      <c r="AD1222" s="570"/>
      <c r="AE1222" s="570"/>
      <c r="AF1222" s="570"/>
      <c r="AG1222" s="570"/>
      <c r="AH1222" s="570"/>
      <c r="AI1222" s="570"/>
      <c r="AJ1222" s="570"/>
      <c r="AK1222" s="570"/>
      <c r="AL1222" s="570"/>
      <c r="AM1222" s="570"/>
      <c r="AN1222" s="570"/>
      <c r="AO1222" s="570"/>
      <c r="AP1222" s="570"/>
      <c r="AQ1222" s="570"/>
      <c r="AR1222" s="570"/>
      <c r="AS1222" s="570"/>
      <c r="AT1222" s="570"/>
      <c r="AU1222" s="570"/>
    </row>
    <row r="1223" spans="1:47" ht="15.75" customHeight="1">
      <c r="A1223" s="589"/>
      <c r="B1223" s="580"/>
      <c r="C1223" s="587"/>
      <c r="D1223" s="587"/>
      <c r="E1223" s="579"/>
      <c r="F1223" s="589"/>
      <c r="G1223" s="589"/>
      <c r="H1223" s="589"/>
      <c r="I1223" s="589"/>
      <c r="J1223" s="589"/>
      <c r="K1223" s="589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  <c r="Z1223" s="570"/>
      <c r="AA1223" s="570"/>
      <c r="AB1223" s="570"/>
      <c r="AC1223" s="570"/>
      <c r="AD1223" s="570"/>
      <c r="AE1223" s="570"/>
      <c r="AF1223" s="570"/>
      <c r="AG1223" s="570"/>
      <c r="AH1223" s="570"/>
      <c r="AI1223" s="570"/>
      <c r="AJ1223" s="570"/>
      <c r="AK1223" s="570"/>
      <c r="AL1223" s="570"/>
      <c r="AM1223" s="570"/>
      <c r="AN1223" s="570"/>
      <c r="AO1223" s="570"/>
      <c r="AP1223" s="570"/>
      <c r="AQ1223" s="570"/>
      <c r="AR1223" s="570"/>
      <c r="AS1223" s="570"/>
      <c r="AT1223" s="570"/>
      <c r="AU1223" s="570"/>
    </row>
    <row r="1224" spans="1:47" ht="15.75" customHeight="1">
      <c r="A1224" s="589"/>
      <c r="B1224" s="580"/>
      <c r="C1224" s="587"/>
      <c r="D1224" s="587"/>
      <c r="E1224" s="579"/>
      <c r="F1224" s="589"/>
      <c r="G1224" s="589"/>
      <c r="H1224" s="589"/>
      <c r="I1224" s="589"/>
      <c r="J1224" s="589"/>
      <c r="K1224" s="589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  <c r="Z1224" s="570"/>
      <c r="AA1224" s="570"/>
      <c r="AB1224" s="570"/>
      <c r="AC1224" s="570"/>
      <c r="AD1224" s="570"/>
      <c r="AE1224" s="570"/>
      <c r="AF1224" s="570"/>
      <c r="AG1224" s="570"/>
      <c r="AH1224" s="570"/>
      <c r="AI1224" s="570"/>
      <c r="AJ1224" s="570"/>
      <c r="AK1224" s="570"/>
      <c r="AL1224" s="570"/>
      <c r="AM1224" s="570"/>
      <c r="AN1224" s="570"/>
      <c r="AO1224" s="570"/>
      <c r="AP1224" s="570"/>
      <c r="AQ1224" s="570"/>
      <c r="AR1224" s="570"/>
      <c r="AS1224" s="570"/>
      <c r="AT1224" s="570"/>
      <c r="AU1224" s="570"/>
    </row>
    <row r="1225" spans="1:47" ht="15.75" customHeight="1">
      <c r="A1225" s="589"/>
      <c r="B1225" s="580"/>
      <c r="C1225" s="587"/>
      <c r="D1225" s="587"/>
      <c r="E1225" s="579"/>
      <c r="F1225" s="589"/>
      <c r="G1225" s="589"/>
      <c r="H1225" s="589"/>
      <c r="I1225" s="589"/>
      <c r="J1225" s="589"/>
      <c r="K1225" s="589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  <c r="Z1225" s="570"/>
      <c r="AA1225" s="570"/>
      <c r="AB1225" s="570"/>
      <c r="AC1225" s="570"/>
      <c r="AD1225" s="570"/>
      <c r="AE1225" s="570"/>
      <c r="AF1225" s="570"/>
      <c r="AG1225" s="570"/>
      <c r="AH1225" s="570"/>
      <c r="AI1225" s="570"/>
      <c r="AJ1225" s="570"/>
      <c r="AK1225" s="570"/>
      <c r="AL1225" s="570"/>
      <c r="AM1225" s="570"/>
      <c r="AN1225" s="570"/>
      <c r="AO1225" s="570"/>
      <c r="AP1225" s="570"/>
      <c r="AQ1225" s="570"/>
      <c r="AR1225" s="570"/>
      <c r="AS1225" s="570"/>
      <c r="AT1225" s="570"/>
      <c r="AU1225" s="570"/>
    </row>
    <row r="1226" spans="1:47" ht="15.75" customHeight="1">
      <c r="A1226" s="589"/>
      <c r="B1226" s="580"/>
      <c r="C1226" s="587"/>
      <c r="D1226" s="587"/>
      <c r="E1226" s="579"/>
      <c r="F1226" s="589"/>
      <c r="G1226" s="589"/>
      <c r="H1226" s="589"/>
      <c r="I1226" s="589"/>
      <c r="J1226" s="589"/>
      <c r="K1226" s="589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  <c r="Z1226" s="570"/>
      <c r="AA1226" s="570"/>
      <c r="AB1226" s="570"/>
      <c r="AC1226" s="570"/>
      <c r="AD1226" s="570"/>
      <c r="AE1226" s="570"/>
      <c r="AF1226" s="570"/>
      <c r="AG1226" s="570"/>
      <c r="AH1226" s="570"/>
      <c r="AI1226" s="570"/>
      <c r="AJ1226" s="570"/>
      <c r="AK1226" s="570"/>
      <c r="AL1226" s="570"/>
      <c r="AM1226" s="570"/>
      <c r="AN1226" s="570"/>
      <c r="AO1226" s="570"/>
      <c r="AP1226" s="570"/>
      <c r="AQ1226" s="570"/>
      <c r="AR1226" s="570"/>
      <c r="AS1226" s="570"/>
      <c r="AT1226" s="570"/>
      <c r="AU1226" s="570"/>
    </row>
    <row r="1227" spans="1:47" ht="15.75" customHeight="1">
      <c r="A1227" s="589"/>
      <c r="B1227" s="580"/>
      <c r="C1227" s="587"/>
      <c r="D1227" s="587"/>
      <c r="E1227" s="579"/>
      <c r="F1227" s="589"/>
      <c r="G1227" s="589"/>
      <c r="H1227" s="589"/>
      <c r="I1227" s="589"/>
      <c r="J1227" s="589"/>
      <c r="K1227" s="589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  <c r="Z1227" s="570"/>
      <c r="AA1227" s="570"/>
      <c r="AB1227" s="570"/>
      <c r="AC1227" s="570"/>
      <c r="AD1227" s="570"/>
      <c r="AE1227" s="570"/>
      <c r="AF1227" s="570"/>
      <c r="AG1227" s="570"/>
      <c r="AH1227" s="570"/>
      <c r="AI1227" s="570"/>
      <c r="AJ1227" s="570"/>
      <c r="AK1227" s="570"/>
      <c r="AL1227" s="570"/>
      <c r="AM1227" s="570"/>
      <c r="AN1227" s="570"/>
      <c r="AO1227" s="570"/>
      <c r="AP1227" s="570"/>
      <c r="AQ1227" s="570"/>
      <c r="AR1227" s="570"/>
      <c r="AS1227" s="570"/>
      <c r="AT1227" s="570"/>
      <c r="AU1227" s="570"/>
    </row>
    <row r="1228" spans="1:47" ht="15.75" customHeight="1">
      <c r="A1228" s="589"/>
      <c r="B1228" s="580"/>
      <c r="C1228" s="587"/>
      <c r="D1228" s="587"/>
      <c r="E1228" s="579"/>
      <c r="F1228" s="589"/>
      <c r="G1228" s="589"/>
      <c r="H1228" s="589"/>
      <c r="I1228" s="589"/>
      <c r="J1228" s="589"/>
      <c r="K1228" s="589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  <c r="Z1228" s="570"/>
      <c r="AA1228" s="570"/>
      <c r="AB1228" s="570"/>
      <c r="AC1228" s="570"/>
      <c r="AD1228" s="570"/>
      <c r="AE1228" s="570"/>
      <c r="AF1228" s="570"/>
      <c r="AG1228" s="570"/>
      <c r="AH1228" s="570"/>
      <c r="AI1228" s="570"/>
      <c r="AJ1228" s="570"/>
      <c r="AK1228" s="570"/>
      <c r="AL1228" s="570"/>
      <c r="AM1228" s="570"/>
      <c r="AN1228" s="570"/>
      <c r="AO1228" s="570"/>
      <c r="AP1228" s="570"/>
      <c r="AQ1228" s="570"/>
      <c r="AR1228" s="570"/>
      <c r="AS1228" s="570"/>
      <c r="AT1228" s="570"/>
      <c r="AU1228" s="570"/>
    </row>
    <row r="1229" spans="1:47" ht="15.75" customHeight="1">
      <c r="A1229" s="589"/>
      <c r="B1229" s="580"/>
      <c r="C1229" s="587"/>
      <c r="D1229" s="587"/>
      <c r="E1229" s="579"/>
      <c r="F1229" s="589"/>
      <c r="G1229" s="589"/>
      <c r="H1229" s="589"/>
      <c r="I1229" s="589"/>
      <c r="J1229" s="589"/>
      <c r="K1229" s="589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  <c r="Z1229" s="570"/>
      <c r="AA1229" s="570"/>
      <c r="AB1229" s="570"/>
      <c r="AC1229" s="570"/>
      <c r="AD1229" s="570"/>
      <c r="AE1229" s="570"/>
      <c r="AF1229" s="570"/>
      <c r="AG1229" s="570"/>
      <c r="AH1229" s="570"/>
      <c r="AI1229" s="570"/>
      <c r="AJ1229" s="570"/>
      <c r="AK1229" s="570"/>
      <c r="AL1229" s="570"/>
      <c r="AM1229" s="570"/>
      <c r="AN1229" s="570"/>
      <c r="AO1229" s="570"/>
      <c r="AP1229" s="570"/>
      <c r="AQ1229" s="570"/>
      <c r="AR1229" s="570"/>
      <c r="AS1229" s="570"/>
      <c r="AT1229" s="570"/>
      <c r="AU1229" s="570"/>
    </row>
    <row r="1230" spans="1:47" ht="15.75" customHeight="1">
      <c r="A1230" s="589"/>
      <c r="B1230" s="580"/>
      <c r="C1230" s="587"/>
      <c r="D1230" s="587"/>
      <c r="E1230" s="579"/>
      <c r="F1230" s="589"/>
      <c r="G1230" s="589"/>
      <c r="H1230" s="589"/>
      <c r="I1230" s="589"/>
      <c r="J1230" s="589"/>
      <c r="K1230" s="589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  <c r="Z1230" s="570"/>
      <c r="AA1230" s="570"/>
      <c r="AB1230" s="570"/>
      <c r="AC1230" s="570"/>
      <c r="AD1230" s="570"/>
      <c r="AE1230" s="570"/>
      <c r="AF1230" s="570"/>
      <c r="AG1230" s="570"/>
      <c r="AH1230" s="570"/>
      <c r="AI1230" s="570"/>
      <c r="AJ1230" s="570"/>
      <c r="AK1230" s="570"/>
      <c r="AL1230" s="570"/>
      <c r="AM1230" s="570"/>
      <c r="AN1230" s="570"/>
      <c r="AO1230" s="570"/>
      <c r="AP1230" s="570"/>
      <c r="AQ1230" s="570"/>
      <c r="AR1230" s="570"/>
      <c r="AS1230" s="570"/>
      <c r="AT1230" s="570"/>
      <c r="AU1230" s="570"/>
    </row>
    <row r="1231" spans="1:47" ht="15.75" customHeight="1">
      <c r="A1231" s="589"/>
      <c r="B1231" s="580"/>
      <c r="C1231" s="587"/>
      <c r="D1231" s="587"/>
      <c r="E1231" s="579"/>
      <c r="F1231" s="589"/>
      <c r="G1231" s="589"/>
      <c r="H1231" s="589"/>
      <c r="I1231" s="589"/>
      <c r="J1231" s="589"/>
      <c r="K1231" s="589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  <c r="Z1231" s="570"/>
      <c r="AA1231" s="570"/>
      <c r="AB1231" s="570"/>
      <c r="AC1231" s="570"/>
      <c r="AD1231" s="570"/>
      <c r="AE1231" s="570"/>
      <c r="AF1231" s="570"/>
      <c r="AG1231" s="570"/>
      <c r="AH1231" s="570"/>
      <c r="AI1231" s="570"/>
      <c r="AJ1231" s="570"/>
      <c r="AK1231" s="570"/>
      <c r="AL1231" s="570"/>
      <c r="AM1231" s="570"/>
      <c r="AN1231" s="570"/>
      <c r="AO1231" s="570"/>
      <c r="AP1231" s="570"/>
      <c r="AQ1231" s="570"/>
      <c r="AR1231" s="570"/>
      <c r="AS1231" s="570"/>
      <c r="AT1231" s="570"/>
      <c r="AU1231" s="570"/>
    </row>
    <row r="1232" spans="1:47" ht="15.75" customHeight="1">
      <c r="A1232" s="589"/>
      <c r="B1232" s="580"/>
      <c r="C1232" s="587"/>
      <c r="D1232" s="587"/>
      <c r="E1232" s="579"/>
      <c r="F1232" s="589"/>
      <c r="G1232" s="589"/>
      <c r="H1232" s="589"/>
      <c r="I1232" s="589"/>
      <c r="J1232" s="589"/>
      <c r="K1232" s="589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  <c r="Z1232" s="570"/>
      <c r="AA1232" s="570"/>
      <c r="AB1232" s="570"/>
      <c r="AC1232" s="570"/>
      <c r="AD1232" s="570"/>
      <c r="AE1232" s="570"/>
      <c r="AF1232" s="570"/>
      <c r="AG1232" s="570"/>
      <c r="AH1232" s="570"/>
      <c r="AI1232" s="570"/>
      <c r="AJ1232" s="570"/>
      <c r="AK1232" s="570"/>
      <c r="AL1232" s="570"/>
      <c r="AM1232" s="570"/>
      <c r="AN1232" s="570"/>
      <c r="AO1232" s="570"/>
      <c r="AP1232" s="570"/>
      <c r="AQ1232" s="570"/>
      <c r="AR1232" s="570"/>
      <c r="AS1232" s="570"/>
      <c r="AT1232" s="570"/>
      <c r="AU1232" s="570"/>
    </row>
    <row r="1233" spans="1:47" ht="15.75" customHeight="1">
      <c r="A1233" s="589"/>
      <c r="B1233" s="580"/>
      <c r="C1233" s="587"/>
      <c r="D1233" s="587"/>
      <c r="E1233" s="579"/>
      <c r="F1233" s="589"/>
      <c r="G1233" s="589"/>
      <c r="H1233" s="589"/>
      <c r="I1233" s="589"/>
      <c r="J1233" s="589"/>
      <c r="K1233" s="589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  <c r="Z1233" s="570"/>
      <c r="AA1233" s="570"/>
      <c r="AB1233" s="570"/>
      <c r="AC1233" s="570"/>
      <c r="AD1233" s="570"/>
      <c r="AE1233" s="570"/>
      <c r="AF1233" s="570"/>
      <c r="AG1233" s="570"/>
      <c r="AH1233" s="570"/>
      <c r="AI1233" s="570"/>
      <c r="AJ1233" s="570"/>
      <c r="AK1233" s="570"/>
      <c r="AL1233" s="570"/>
      <c r="AM1233" s="570"/>
      <c r="AN1233" s="570"/>
      <c r="AO1233" s="570"/>
      <c r="AP1233" s="570"/>
      <c r="AQ1233" s="570"/>
      <c r="AR1233" s="570"/>
      <c r="AS1233" s="570"/>
      <c r="AT1233" s="570"/>
      <c r="AU1233" s="570"/>
    </row>
    <row r="1234" spans="1:47" ht="15.75" customHeight="1">
      <c r="A1234" s="589"/>
      <c r="B1234" s="580"/>
      <c r="C1234" s="587"/>
      <c r="D1234" s="587"/>
      <c r="E1234" s="579"/>
      <c r="F1234" s="589"/>
      <c r="G1234" s="589"/>
      <c r="H1234" s="589"/>
      <c r="I1234" s="589"/>
      <c r="J1234" s="589"/>
      <c r="K1234" s="589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  <c r="Z1234" s="570"/>
      <c r="AA1234" s="570"/>
      <c r="AB1234" s="570"/>
      <c r="AC1234" s="570"/>
      <c r="AD1234" s="570"/>
      <c r="AE1234" s="570"/>
      <c r="AF1234" s="570"/>
      <c r="AG1234" s="570"/>
      <c r="AH1234" s="570"/>
      <c r="AI1234" s="570"/>
      <c r="AJ1234" s="570"/>
      <c r="AK1234" s="570"/>
      <c r="AL1234" s="570"/>
      <c r="AM1234" s="570"/>
      <c r="AN1234" s="570"/>
      <c r="AO1234" s="570"/>
      <c r="AP1234" s="570"/>
      <c r="AQ1234" s="570"/>
      <c r="AR1234" s="570"/>
      <c r="AS1234" s="570"/>
      <c r="AT1234" s="570"/>
      <c r="AU1234" s="570"/>
    </row>
    <row r="1235" spans="1:47" ht="15.75" customHeight="1">
      <c r="A1235" s="589"/>
      <c r="B1235" s="580"/>
      <c r="C1235" s="587"/>
      <c r="D1235" s="587"/>
      <c r="E1235" s="579"/>
      <c r="F1235" s="589"/>
      <c r="G1235" s="589"/>
      <c r="H1235" s="589"/>
      <c r="I1235" s="589"/>
      <c r="J1235" s="589"/>
      <c r="K1235" s="589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  <c r="Z1235" s="570"/>
      <c r="AA1235" s="570"/>
      <c r="AB1235" s="570"/>
      <c r="AC1235" s="570"/>
      <c r="AD1235" s="570"/>
      <c r="AE1235" s="570"/>
      <c r="AF1235" s="570"/>
      <c r="AG1235" s="570"/>
      <c r="AH1235" s="570"/>
      <c r="AI1235" s="570"/>
      <c r="AJ1235" s="570"/>
      <c r="AK1235" s="570"/>
      <c r="AL1235" s="570"/>
      <c r="AM1235" s="570"/>
      <c r="AN1235" s="570"/>
      <c r="AO1235" s="570"/>
      <c r="AP1235" s="570"/>
      <c r="AQ1235" s="570"/>
      <c r="AR1235" s="570"/>
      <c r="AS1235" s="570"/>
      <c r="AT1235" s="570"/>
      <c r="AU1235" s="570"/>
    </row>
    <row r="1236" spans="1:47" ht="15.75" customHeight="1">
      <c r="A1236" s="589"/>
      <c r="B1236" s="580"/>
      <c r="C1236" s="587"/>
      <c r="D1236" s="587"/>
      <c r="E1236" s="579"/>
      <c r="F1236" s="589"/>
      <c r="G1236" s="589"/>
      <c r="H1236" s="589"/>
      <c r="I1236" s="589"/>
      <c r="J1236" s="589"/>
      <c r="K1236" s="589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  <c r="Z1236" s="570"/>
      <c r="AA1236" s="570"/>
      <c r="AB1236" s="570"/>
      <c r="AC1236" s="570"/>
      <c r="AD1236" s="570"/>
      <c r="AE1236" s="570"/>
      <c r="AF1236" s="570"/>
      <c r="AG1236" s="570"/>
      <c r="AH1236" s="570"/>
      <c r="AI1236" s="570"/>
      <c r="AJ1236" s="570"/>
      <c r="AK1236" s="570"/>
      <c r="AL1236" s="570"/>
      <c r="AM1236" s="570"/>
      <c r="AN1236" s="570"/>
      <c r="AO1236" s="570"/>
      <c r="AP1236" s="570"/>
      <c r="AQ1236" s="570"/>
      <c r="AR1236" s="570"/>
      <c r="AS1236" s="570"/>
      <c r="AT1236" s="570"/>
      <c r="AU1236" s="570"/>
    </row>
    <row r="1237" spans="1:47" ht="15.75" customHeight="1">
      <c r="A1237" s="589"/>
      <c r="B1237" s="580"/>
      <c r="C1237" s="587"/>
      <c r="D1237" s="587"/>
      <c r="E1237" s="579"/>
      <c r="F1237" s="589"/>
      <c r="G1237" s="589"/>
      <c r="H1237" s="589"/>
      <c r="I1237" s="589"/>
      <c r="J1237" s="589"/>
      <c r="K1237" s="589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  <c r="Z1237" s="570"/>
      <c r="AA1237" s="570"/>
      <c r="AB1237" s="570"/>
      <c r="AC1237" s="570"/>
      <c r="AD1237" s="570"/>
      <c r="AE1237" s="570"/>
      <c r="AF1237" s="570"/>
      <c r="AG1237" s="570"/>
      <c r="AH1237" s="570"/>
      <c r="AI1237" s="570"/>
      <c r="AJ1237" s="570"/>
      <c r="AK1237" s="570"/>
      <c r="AL1237" s="570"/>
      <c r="AM1237" s="570"/>
      <c r="AN1237" s="570"/>
      <c r="AO1237" s="570"/>
      <c r="AP1237" s="570"/>
      <c r="AQ1237" s="570"/>
      <c r="AR1237" s="570"/>
      <c r="AS1237" s="570"/>
      <c r="AT1237" s="570"/>
      <c r="AU1237" s="570"/>
    </row>
    <row r="1238" spans="1:47" ht="15.75" customHeight="1">
      <c r="A1238" s="589"/>
      <c r="B1238" s="580"/>
      <c r="C1238" s="587"/>
      <c r="D1238" s="587"/>
      <c r="E1238" s="579"/>
      <c r="F1238" s="589"/>
      <c r="G1238" s="589"/>
      <c r="H1238" s="589"/>
      <c r="I1238" s="589"/>
      <c r="J1238" s="589"/>
      <c r="K1238" s="589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  <c r="Z1238" s="570"/>
      <c r="AA1238" s="570"/>
      <c r="AB1238" s="570"/>
      <c r="AC1238" s="570"/>
      <c r="AD1238" s="570"/>
      <c r="AE1238" s="570"/>
      <c r="AF1238" s="570"/>
      <c r="AG1238" s="570"/>
      <c r="AH1238" s="570"/>
      <c r="AI1238" s="570"/>
      <c r="AJ1238" s="570"/>
      <c r="AK1238" s="570"/>
      <c r="AL1238" s="570"/>
      <c r="AM1238" s="570"/>
      <c r="AN1238" s="570"/>
      <c r="AO1238" s="570"/>
      <c r="AP1238" s="570"/>
      <c r="AQ1238" s="570"/>
      <c r="AR1238" s="570"/>
      <c r="AS1238" s="570"/>
      <c r="AT1238" s="570"/>
      <c r="AU1238" s="570"/>
    </row>
    <row r="1239" spans="1:47" ht="15.75" customHeight="1">
      <c r="A1239" s="589"/>
      <c r="B1239" s="580"/>
      <c r="C1239" s="587"/>
      <c r="D1239" s="587"/>
      <c r="E1239" s="579"/>
      <c r="F1239" s="589"/>
      <c r="G1239" s="589"/>
      <c r="H1239" s="589"/>
      <c r="I1239" s="589"/>
      <c r="J1239" s="589"/>
      <c r="K1239" s="589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  <c r="Z1239" s="570"/>
      <c r="AA1239" s="570"/>
      <c r="AB1239" s="570"/>
      <c r="AC1239" s="570"/>
      <c r="AD1239" s="570"/>
      <c r="AE1239" s="570"/>
      <c r="AF1239" s="570"/>
      <c r="AG1239" s="570"/>
      <c r="AH1239" s="570"/>
      <c r="AI1239" s="570"/>
      <c r="AJ1239" s="570"/>
      <c r="AK1239" s="570"/>
      <c r="AL1239" s="570"/>
      <c r="AM1239" s="570"/>
      <c r="AN1239" s="570"/>
      <c r="AO1239" s="570"/>
      <c r="AP1239" s="570"/>
      <c r="AQ1239" s="570"/>
      <c r="AR1239" s="570"/>
      <c r="AS1239" s="570"/>
      <c r="AT1239" s="570"/>
      <c r="AU1239" s="570"/>
    </row>
    <row r="1240" spans="1:47" ht="15.75" customHeight="1">
      <c r="A1240" s="589"/>
      <c r="B1240" s="580"/>
      <c r="C1240" s="587"/>
      <c r="D1240" s="587"/>
      <c r="E1240" s="579"/>
      <c r="F1240" s="589"/>
      <c r="G1240" s="589"/>
      <c r="H1240" s="589"/>
      <c r="I1240" s="589"/>
      <c r="J1240" s="589"/>
      <c r="K1240" s="589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  <c r="Z1240" s="570"/>
      <c r="AA1240" s="570"/>
      <c r="AB1240" s="570"/>
      <c r="AC1240" s="570"/>
      <c r="AD1240" s="570"/>
      <c r="AE1240" s="570"/>
      <c r="AF1240" s="570"/>
      <c r="AG1240" s="570"/>
      <c r="AH1240" s="570"/>
      <c r="AI1240" s="570"/>
      <c r="AJ1240" s="570"/>
      <c r="AK1240" s="570"/>
      <c r="AL1240" s="570"/>
      <c r="AM1240" s="570"/>
      <c r="AN1240" s="570"/>
      <c r="AO1240" s="570"/>
      <c r="AP1240" s="570"/>
      <c r="AQ1240" s="570"/>
      <c r="AR1240" s="570"/>
      <c r="AS1240" s="570"/>
      <c r="AT1240" s="570"/>
      <c r="AU1240" s="570"/>
    </row>
    <row r="1241" spans="1:47" ht="15.75" customHeight="1">
      <c r="A1241" s="589"/>
      <c r="B1241" s="580"/>
      <c r="C1241" s="587"/>
      <c r="D1241" s="587"/>
      <c r="E1241" s="579"/>
      <c r="F1241" s="589"/>
      <c r="G1241" s="589"/>
      <c r="H1241" s="589"/>
      <c r="I1241" s="589"/>
      <c r="J1241" s="589"/>
      <c r="K1241" s="589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  <c r="Z1241" s="570"/>
      <c r="AA1241" s="570"/>
      <c r="AB1241" s="570"/>
      <c r="AC1241" s="570"/>
      <c r="AD1241" s="570"/>
      <c r="AE1241" s="570"/>
      <c r="AF1241" s="570"/>
      <c r="AG1241" s="570"/>
      <c r="AH1241" s="570"/>
      <c r="AI1241" s="570"/>
      <c r="AJ1241" s="570"/>
      <c r="AK1241" s="570"/>
      <c r="AL1241" s="570"/>
      <c r="AM1241" s="570"/>
      <c r="AN1241" s="570"/>
      <c r="AO1241" s="570"/>
      <c r="AP1241" s="570"/>
      <c r="AQ1241" s="570"/>
      <c r="AR1241" s="570"/>
      <c r="AS1241" s="570"/>
      <c r="AT1241" s="570"/>
      <c r="AU1241" s="570"/>
    </row>
    <row r="1242" spans="1:47" ht="15.75" customHeight="1">
      <c r="A1242" s="589"/>
      <c r="B1242" s="580"/>
      <c r="C1242" s="587"/>
      <c r="D1242" s="587"/>
      <c r="E1242" s="579"/>
      <c r="F1242" s="589"/>
      <c r="G1242" s="589"/>
      <c r="H1242" s="589"/>
      <c r="I1242" s="589"/>
      <c r="J1242" s="589"/>
      <c r="K1242" s="589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  <c r="Z1242" s="570"/>
      <c r="AA1242" s="570"/>
      <c r="AB1242" s="570"/>
      <c r="AC1242" s="570"/>
      <c r="AD1242" s="570"/>
      <c r="AE1242" s="570"/>
      <c r="AF1242" s="570"/>
      <c r="AG1242" s="570"/>
      <c r="AH1242" s="570"/>
      <c r="AI1242" s="570"/>
      <c r="AJ1242" s="570"/>
      <c r="AK1242" s="570"/>
      <c r="AL1242" s="570"/>
      <c r="AM1242" s="570"/>
      <c r="AN1242" s="570"/>
      <c r="AO1242" s="570"/>
      <c r="AP1242" s="570"/>
      <c r="AQ1242" s="570"/>
      <c r="AR1242" s="570"/>
      <c r="AS1242" s="570"/>
      <c r="AT1242" s="570"/>
      <c r="AU1242" s="570"/>
    </row>
    <row r="1243" spans="1:47" ht="15.75" customHeight="1">
      <c r="A1243" s="589"/>
      <c r="B1243" s="580"/>
      <c r="C1243" s="587"/>
      <c r="D1243" s="587"/>
      <c r="E1243" s="579"/>
      <c r="F1243" s="589"/>
      <c r="G1243" s="589"/>
      <c r="H1243" s="589"/>
      <c r="I1243" s="589"/>
      <c r="J1243" s="589"/>
      <c r="K1243" s="589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  <c r="Z1243" s="570"/>
      <c r="AA1243" s="570"/>
      <c r="AB1243" s="570"/>
      <c r="AC1243" s="570"/>
      <c r="AD1243" s="570"/>
      <c r="AE1243" s="570"/>
      <c r="AF1243" s="570"/>
      <c r="AG1243" s="570"/>
      <c r="AH1243" s="570"/>
      <c r="AI1243" s="570"/>
      <c r="AJ1243" s="570"/>
      <c r="AK1243" s="570"/>
      <c r="AL1243" s="570"/>
      <c r="AM1243" s="570"/>
      <c r="AN1243" s="570"/>
      <c r="AO1243" s="570"/>
      <c r="AP1243" s="570"/>
      <c r="AQ1243" s="570"/>
      <c r="AR1243" s="570"/>
      <c r="AS1243" s="570"/>
      <c r="AT1243" s="570"/>
      <c r="AU1243" s="570"/>
    </row>
    <row r="1244" spans="1:47" ht="15.75" customHeight="1">
      <c r="A1244" s="589"/>
      <c r="B1244" s="580"/>
      <c r="C1244" s="587"/>
      <c r="D1244" s="587"/>
      <c r="E1244" s="579"/>
      <c r="F1244" s="589"/>
      <c r="G1244" s="589"/>
      <c r="H1244" s="589"/>
      <c r="I1244" s="589"/>
      <c r="J1244" s="589"/>
      <c r="K1244" s="589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  <c r="Z1244" s="570"/>
      <c r="AA1244" s="570"/>
      <c r="AB1244" s="570"/>
      <c r="AC1244" s="570"/>
      <c r="AD1244" s="570"/>
      <c r="AE1244" s="570"/>
      <c r="AF1244" s="570"/>
      <c r="AG1244" s="570"/>
      <c r="AH1244" s="570"/>
      <c r="AI1244" s="570"/>
      <c r="AJ1244" s="570"/>
      <c r="AK1244" s="570"/>
      <c r="AL1244" s="570"/>
      <c r="AM1244" s="570"/>
      <c r="AN1244" s="570"/>
      <c r="AO1244" s="570"/>
      <c r="AP1244" s="570"/>
      <c r="AQ1244" s="570"/>
      <c r="AR1244" s="570"/>
      <c r="AS1244" s="570"/>
      <c r="AT1244" s="570"/>
      <c r="AU1244" s="570"/>
    </row>
    <row r="1245" spans="1:47" ht="15.75" customHeight="1">
      <c r="A1245" s="589"/>
      <c r="B1245" s="580"/>
      <c r="C1245" s="587"/>
      <c r="D1245" s="587"/>
      <c r="E1245" s="579"/>
      <c r="F1245" s="589"/>
      <c r="G1245" s="589"/>
      <c r="H1245" s="589"/>
      <c r="I1245" s="589"/>
      <c r="J1245" s="589"/>
      <c r="K1245" s="589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  <c r="Z1245" s="570"/>
      <c r="AA1245" s="570"/>
      <c r="AB1245" s="570"/>
      <c r="AC1245" s="570"/>
      <c r="AD1245" s="570"/>
      <c r="AE1245" s="570"/>
      <c r="AF1245" s="570"/>
      <c r="AG1245" s="570"/>
      <c r="AH1245" s="570"/>
      <c r="AI1245" s="570"/>
      <c r="AJ1245" s="570"/>
      <c r="AK1245" s="570"/>
      <c r="AL1245" s="570"/>
      <c r="AM1245" s="570"/>
      <c r="AN1245" s="570"/>
      <c r="AO1245" s="570"/>
      <c r="AP1245" s="570"/>
      <c r="AQ1245" s="570"/>
      <c r="AR1245" s="570"/>
      <c r="AS1245" s="570"/>
      <c r="AT1245" s="570"/>
      <c r="AU1245" s="570"/>
    </row>
    <row r="1246" spans="1:47" ht="15.75" customHeight="1">
      <c r="A1246" s="589"/>
      <c r="B1246" s="580"/>
      <c r="C1246" s="587"/>
      <c r="D1246" s="587"/>
      <c r="E1246" s="579"/>
      <c r="F1246" s="589"/>
      <c r="G1246" s="589"/>
      <c r="H1246" s="589"/>
      <c r="I1246" s="589"/>
      <c r="J1246" s="589"/>
      <c r="K1246" s="589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  <c r="Z1246" s="570"/>
      <c r="AA1246" s="570"/>
      <c r="AB1246" s="570"/>
      <c r="AC1246" s="570"/>
      <c r="AD1246" s="570"/>
      <c r="AE1246" s="570"/>
      <c r="AF1246" s="570"/>
      <c r="AG1246" s="570"/>
      <c r="AH1246" s="570"/>
      <c r="AI1246" s="570"/>
      <c r="AJ1246" s="570"/>
      <c r="AK1246" s="570"/>
      <c r="AL1246" s="570"/>
      <c r="AM1246" s="570"/>
      <c r="AN1246" s="570"/>
      <c r="AO1246" s="570"/>
      <c r="AP1246" s="570"/>
      <c r="AQ1246" s="570"/>
      <c r="AR1246" s="570"/>
      <c r="AS1246" s="570"/>
      <c r="AT1246" s="570"/>
      <c r="AU1246" s="570"/>
    </row>
    <row r="1247" spans="1:47" ht="15.75" customHeight="1">
      <c r="A1247" s="589"/>
      <c r="B1247" s="580"/>
      <c r="C1247" s="587"/>
      <c r="D1247" s="587"/>
      <c r="E1247" s="579"/>
      <c r="F1247" s="589"/>
      <c r="G1247" s="589"/>
      <c r="H1247" s="589"/>
      <c r="I1247" s="589"/>
      <c r="J1247" s="589"/>
      <c r="K1247" s="589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  <c r="Z1247" s="570"/>
      <c r="AA1247" s="570"/>
      <c r="AB1247" s="570"/>
      <c r="AC1247" s="570"/>
      <c r="AD1247" s="570"/>
      <c r="AE1247" s="570"/>
      <c r="AF1247" s="570"/>
      <c r="AG1247" s="570"/>
      <c r="AH1247" s="570"/>
      <c r="AI1247" s="570"/>
      <c r="AJ1247" s="570"/>
      <c r="AK1247" s="570"/>
      <c r="AL1247" s="570"/>
      <c r="AM1247" s="570"/>
      <c r="AN1247" s="570"/>
      <c r="AO1247" s="570"/>
      <c r="AP1247" s="570"/>
      <c r="AQ1247" s="570"/>
      <c r="AR1247" s="570"/>
      <c r="AS1247" s="570"/>
      <c r="AT1247" s="570"/>
      <c r="AU1247" s="570"/>
    </row>
    <row r="1248" spans="1:47" ht="15.75" customHeight="1">
      <c r="A1248" s="589"/>
      <c r="B1248" s="580"/>
      <c r="C1248" s="587"/>
      <c r="D1248" s="587"/>
      <c r="E1248" s="579"/>
      <c r="F1248" s="589"/>
      <c r="G1248" s="589"/>
      <c r="H1248" s="589"/>
      <c r="I1248" s="589"/>
      <c r="J1248" s="589"/>
      <c r="K1248" s="589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  <c r="Z1248" s="570"/>
      <c r="AA1248" s="570"/>
      <c r="AB1248" s="570"/>
      <c r="AC1248" s="570"/>
      <c r="AD1248" s="570"/>
      <c r="AE1248" s="570"/>
      <c r="AF1248" s="570"/>
      <c r="AG1248" s="570"/>
      <c r="AH1248" s="570"/>
      <c r="AI1248" s="570"/>
      <c r="AJ1248" s="570"/>
      <c r="AK1248" s="570"/>
      <c r="AL1248" s="570"/>
      <c r="AM1248" s="570"/>
      <c r="AN1248" s="570"/>
      <c r="AO1248" s="570"/>
      <c r="AP1248" s="570"/>
      <c r="AQ1248" s="570"/>
      <c r="AR1248" s="570"/>
      <c r="AS1248" s="570"/>
      <c r="AT1248" s="570"/>
      <c r="AU1248" s="570"/>
    </row>
    <row r="1249" spans="1:47" ht="15.75" customHeight="1">
      <c r="A1249" s="589"/>
      <c r="B1249" s="580"/>
      <c r="C1249" s="587"/>
      <c r="D1249" s="587"/>
      <c r="E1249" s="579"/>
      <c r="F1249" s="589"/>
      <c r="G1249" s="589"/>
      <c r="H1249" s="589"/>
      <c r="I1249" s="589"/>
      <c r="J1249" s="589"/>
      <c r="K1249" s="589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  <c r="Z1249" s="570"/>
      <c r="AA1249" s="570"/>
      <c r="AB1249" s="570"/>
      <c r="AC1249" s="570"/>
      <c r="AD1249" s="570"/>
      <c r="AE1249" s="570"/>
      <c r="AF1249" s="570"/>
      <c r="AG1249" s="570"/>
      <c r="AH1249" s="570"/>
      <c r="AI1249" s="570"/>
      <c r="AJ1249" s="570"/>
      <c r="AK1249" s="570"/>
      <c r="AL1249" s="570"/>
      <c r="AM1249" s="570"/>
      <c r="AN1249" s="570"/>
      <c r="AO1249" s="570"/>
      <c r="AP1249" s="570"/>
      <c r="AQ1249" s="570"/>
      <c r="AR1249" s="570"/>
      <c r="AS1249" s="570"/>
      <c r="AT1249" s="570"/>
      <c r="AU1249" s="570"/>
    </row>
    <row r="1250" spans="1:47" ht="15.75" customHeight="1">
      <c r="A1250" s="589"/>
      <c r="B1250" s="580"/>
      <c r="C1250" s="587"/>
      <c r="D1250" s="587"/>
      <c r="E1250" s="579"/>
      <c r="F1250" s="589"/>
      <c r="G1250" s="589"/>
      <c r="H1250" s="589"/>
      <c r="I1250" s="589"/>
      <c r="J1250" s="589"/>
      <c r="K1250" s="589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  <c r="Z1250" s="570"/>
      <c r="AA1250" s="570"/>
      <c r="AB1250" s="570"/>
      <c r="AC1250" s="570"/>
      <c r="AD1250" s="570"/>
      <c r="AE1250" s="570"/>
      <c r="AF1250" s="570"/>
      <c r="AG1250" s="570"/>
      <c r="AH1250" s="570"/>
      <c r="AI1250" s="570"/>
      <c r="AJ1250" s="570"/>
      <c r="AK1250" s="570"/>
      <c r="AL1250" s="570"/>
      <c r="AM1250" s="570"/>
      <c r="AN1250" s="570"/>
      <c r="AO1250" s="570"/>
      <c r="AP1250" s="570"/>
      <c r="AQ1250" s="570"/>
      <c r="AR1250" s="570"/>
      <c r="AS1250" s="570"/>
      <c r="AT1250" s="570"/>
      <c r="AU1250" s="570"/>
    </row>
    <row r="1251" spans="1:47" ht="15.75" customHeight="1">
      <c r="A1251" s="589"/>
      <c r="B1251" s="580"/>
      <c r="C1251" s="587"/>
      <c r="D1251" s="587"/>
      <c r="E1251" s="579"/>
      <c r="F1251" s="589"/>
      <c r="G1251" s="589"/>
      <c r="H1251" s="589"/>
      <c r="I1251" s="589"/>
      <c r="J1251" s="589"/>
      <c r="K1251" s="589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  <c r="Z1251" s="570"/>
      <c r="AA1251" s="570"/>
      <c r="AB1251" s="570"/>
      <c r="AC1251" s="570"/>
      <c r="AD1251" s="570"/>
      <c r="AE1251" s="570"/>
      <c r="AF1251" s="570"/>
      <c r="AG1251" s="570"/>
      <c r="AH1251" s="570"/>
      <c r="AI1251" s="570"/>
      <c r="AJ1251" s="570"/>
      <c r="AK1251" s="570"/>
      <c r="AL1251" s="570"/>
      <c r="AM1251" s="570"/>
      <c r="AN1251" s="570"/>
      <c r="AO1251" s="570"/>
      <c r="AP1251" s="570"/>
      <c r="AQ1251" s="570"/>
      <c r="AR1251" s="570"/>
      <c r="AS1251" s="570"/>
      <c r="AT1251" s="570"/>
      <c r="AU1251" s="570"/>
    </row>
    <row r="1252" spans="1:47" ht="15.75" customHeight="1">
      <c r="A1252" s="589"/>
      <c r="B1252" s="580"/>
      <c r="C1252" s="587"/>
      <c r="D1252" s="587"/>
      <c r="E1252" s="579"/>
      <c r="F1252" s="589"/>
      <c r="G1252" s="589"/>
      <c r="H1252" s="589"/>
      <c r="I1252" s="589"/>
      <c r="J1252" s="589"/>
      <c r="K1252" s="589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  <c r="Z1252" s="570"/>
      <c r="AA1252" s="570"/>
      <c r="AB1252" s="570"/>
      <c r="AC1252" s="570"/>
      <c r="AD1252" s="570"/>
      <c r="AE1252" s="570"/>
      <c r="AF1252" s="570"/>
      <c r="AG1252" s="570"/>
      <c r="AH1252" s="570"/>
      <c r="AI1252" s="570"/>
      <c r="AJ1252" s="570"/>
      <c r="AK1252" s="570"/>
      <c r="AL1252" s="570"/>
      <c r="AM1252" s="570"/>
      <c r="AN1252" s="570"/>
      <c r="AO1252" s="570"/>
      <c r="AP1252" s="570"/>
      <c r="AQ1252" s="570"/>
      <c r="AR1252" s="570"/>
      <c r="AS1252" s="570"/>
      <c r="AT1252" s="570"/>
      <c r="AU1252" s="570"/>
    </row>
    <row r="1253" spans="1:47" ht="15.75" customHeight="1">
      <c r="A1253" s="589"/>
      <c r="B1253" s="580"/>
      <c r="C1253" s="587"/>
      <c r="D1253" s="587"/>
      <c r="E1253" s="579"/>
      <c r="F1253" s="589"/>
      <c r="G1253" s="589"/>
      <c r="H1253" s="589"/>
      <c r="I1253" s="589"/>
      <c r="J1253" s="589"/>
      <c r="K1253" s="589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  <c r="Z1253" s="570"/>
      <c r="AA1253" s="570"/>
      <c r="AB1253" s="570"/>
      <c r="AC1253" s="570"/>
      <c r="AD1253" s="570"/>
      <c r="AE1253" s="570"/>
      <c r="AF1253" s="570"/>
      <c r="AG1253" s="570"/>
      <c r="AH1253" s="570"/>
      <c r="AI1253" s="570"/>
      <c r="AJ1253" s="570"/>
      <c r="AK1253" s="570"/>
      <c r="AL1253" s="570"/>
      <c r="AM1253" s="570"/>
      <c r="AN1253" s="570"/>
      <c r="AO1253" s="570"/>
      <c r="AP1253" s="570"/>
      <c r="AQ1253" s="570"/>
      <c r="AR1253" s="570"/>
      <c r="AS1253" s="570"/>
      <c r="AT1253" s="570"/>
      <c r="AU1253" s="570"/>
    </row>
    <row r="1254" spans="1:47" ht="15.75" customHeight="1">
      <c r="A1254" s="589"/>
      <c r="B1254" s="580"/>
      <c r="C1254" s="587"/>
      <c r="D1254" s="587"/>
      <c r="E1254" s="579"/>
      <c r="F1254" s="589"/>
      <c r="G1254" s="589"/>
      <c r="H1254" s="589"/>
      <c r="I1254" s="589"/>
      <c r="J1254" s="589"/>
      <c r="K1254" s="589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  <c r="Z1254" s="570"/>
      <c r="AA1254" s="570"/>
      <c r="AB1254" s="570"/>
      <c r="AC1254" s="570"/>
      <c r="AD1254" s="570"/>
      <c r="AE1254" s="570"/>
      <c r="AF1254" s="570"/>
      <c r="AG1254" s="570"/>
      <c r="AH1254" s="570"/>
      <c r="AI1254" s="570"/>
      <c r="AJ1254" s="570"/>
      <c r="AK1254" s="570"/>
      <c r="AL1254" s="570"/>
      <c r="AM1254" s="570"/>
      <c r="AN1254" s="570"/>
      <c r="AO1254" s="570"/>
      <c r="AP1254" s="570"/>
      <c r="AQ1254" s="570"/>
      <c r="AR1254" s="570"/>
      <c r="AS1254" s="570"/>
      <c r="AT1254" s="570"/>
      <c r="AU1254" s="570"/>
    </row>
    <row r="1255" spans="1:47" ht="15.75" customHeight="1">
      <c r="A1255" s="589"/>
      <c r="B1255" s="580"/>
      <c r="C1255" s="587"/>
      <c r="D1255" s="587"/>
      <c r="E1255" s="579"/>
      <c r="F1255" s="589"/>
      <c r="G1255" s="589"/>
      <c r="H1255" s="589"/>
      <c r="I1255" s="589"/>
      <c r="J1255" s="589"/>
      <c r="K1255" s="589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  <c r="Z1255" s="570"/>
      <c r="AA1255" s="570"/>
      <c r="AB1255" s="570"/>
      <c r="AC1255" s="570"/>
      <c r="AD1255" s="570"/>
      <c r="AE1255" s="570"/>
      <c r="AF1255" s="570"/>
      <c r="AG1255" s="570"/>
      <c r="AH1255" s="570"/>
      <c r="AI1255" s="570"/>
      <c r="AJ1255" s="570"/>
      <c r="AK1255" s="570"/>
      <c r="AL1255" s="570"/>
      <c r="AM1255" s="570"/>
      <c r="AN1255" s="570"/>
      <c r="AO1255" s="570"/>
      <c r="AP1255" s="570"/>
      <c r="AQ1255" s="570"/>
      <c r="AR1255" s="570"/>
      <c r="AS1255" s="570"/>
      <c r="AT1255" s="570"/>
      <c r="AU1255" s="570"/>
    </row>
    <row r="1256" spans="1:47" ht="15.75" customHeight="1">
      <c r="A1256" s="589"/>
      <c r="B1256" s="580"/>
      <c r="C1256" s="587"/>
      <c r="D1256" s="587"/>
      <c r="E1256" s="579"/>
      <c r="F1256" s="589"/>
      <c r="G1256" s="589"/>
      <c r="H1256" s="589"/>
      <c r="I1256" s="589"/>
      <c r="J1256" s="589"/>
      <c r="K1256" s="589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  <c r="Z1256" s="570"/>
      <c r="AA1256" s="570"/>
      <c r="AB1256" s="570"/>
      <c r="AC1256" s="570"/>
      <c r="AD1256" s="570"/>
      <c r="AE1256" s="570"/>
      <c r="AF1256" s="570"/>
      <c r="AG1256" s="570"/>
      <c r="AH1256" s="570"/>
      <c r="AI1256" s="570"/>
      <c r="AJ1256" s="570"/>
      <c r="AK1256" s="570"/>
      <c r="AL1256" s="570"/>
      <c r="AM1256" s="570"/>
      <c r="AN1256" s="570"/>
      <c r="AO1256" s="570"/>
      <c r="AP1256" s="570"/>
      <c r="AQ1256" s="570"/>
      <c r="AR1256" s="570"/>
      <c r="AS1256" s="570"/>
      <c r="AT1256" s="570"/>
      <c r="AU1256" s="570"/>
    </row>
    <row r="1257" spans="1:47" ht="15.75" customHeight="1">
      <c r="A1257" s="589"/>
      <c r="B1257" s="580"/>
      <c r="C1257" s="587"/>
      <c r="D1257" s="587"/>
      <c r="E1257" s="579"/>
      <c r="F1257" s="589"/>
      <c r="G1257" s="589"/>
      <c r="H1257" s="589"/>
      <c r="I1257" s="589"/>
      <c r="J1257" s="589"/>
      <c r="K1257" s="589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  <c r="Z1257" s="570"/>
      <c r="AA1257" s="570"/>
      <c r="AB1257" s="570"/>
      <c r="AC1257" s="570"/>
      <c r="AD1257" s="570"/>
      <c r="AE1257" s="570"/>
      <c r="AF1257" s="570"/>
      <c r="AG1257" s="570"/>
      <c r="AH1257" s="570"/>
      <c r="AI1257" s="570"/>
      <c r="AJ1257" s="570"/>
      <c r="AK1257" s="570"/>
      <c r="AL1257" s="570"/>
      <c r="AM1257" s="570"/>
      <c r="AN1257" s="570"/>
      <c r="AO1257" s="570"/>
      <c r="AP1257" s="570"/>
      <c r="AQ1257" s="570"/>
      <c r="AR1257" s="570"/>
      <c r="AS1257" s="570"/>
      <c r="AT1257" s="570"/>
      <c r="AU1257" s="570"/>
    </row>
    <row r="1258" spans="1:47" ht="15.75" customHeight="1">
      <c r="A1258" s="589"/>
      <c r="B1258" s="580"/>
      <c r="C1258" s="587"/>
      <c r="D1258" s="587"/>
      <c r="E1258" s="579"/>
      <c r="F1258" s="589"/>
      <c r="G1258" s="589"/>
      <c r="H1258" s="589"/>
      <c r="I1258" s="589"/>
      <c r="J1258" s="589"/>
      <c r="K1258" s="589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  <c r="Z1258" s="570"/>
      <c r="AA1258" s="570"/>
      <c r="AB1258" s="570"/>
      <c r="AC1258" s="570"/>
      <c r="AD1258" s="570"/>
      <c r="AE1258" s="570"/>
      <c r="AF1258" s="570"/>
      <c r="AG1258" s="570"/>
      <c r="AH1258" s="570"/>
      <c r="AI1258" s="570"/>
      <c r="AJ1258" s="570"/>
      <c r="AK1258" s="570"/>
      <c r="AL1258" s="570"/>
      <c r="AM1258" s="570"/>
      <c r="AN1258" s="570"/>
      <c r="AO1258" s="570"/>
      <c r="AP1258" s="570"/>
      <c r="AQ1258" s="570"/>
      <c r="AR1258" s="570"/>
      <c r="AS1258" s="570"/>
      <c r="AT1258" s="570"/>
      <c r="AU1258" s="570"/>
    </row>
    <row r="1259" spans="1:47" ht="15.75" customHeight="1">
      <c r="A1259" s="589"/>
      <c r="B1259" s="580"/>
      <c r="C1259" s="587"/>
      <c r="D1259" s="587"/>
      <c r="E1259" s="579"/>
      <c r="F1259" s="589"/>
      <c r="G1259" s="589"/>
      <c r="H1259" s="589"/>
      <c r="I1259" s="589"/>
      <c r="J1259" s="589"/>
      <c r="K1259" s="589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  <c r="Z1259" s="570"/>
      <c r="AA1259" s="570"/>
      <c r="AB1259" s="570"/>
      <c r="AC1259" s="570"/>
      <c r="AD1259" s="570"/>
      <c r="AE1259" s="570"/>
      <c r="AF1259" s="570"/>
      <c r="AG1259" s="570"/>
      <c r="AH1259" s="570"/>
      <c r="AI1259" s="570"/>
      <c r="AJ1259" s="570"/>
      <c r="AK1259" s="570"/>
      <c r="AL1259" s="570"/>
      <c r="AM1259" s="570"/>
      <c r="AN1259" s="570"/>
      <c r="AO1259" s="570"/>
      <c r="AP1259" s="570"/>
      <c r="AQ1259" s="570"/>
      <c r="AR1259" s="570"/>
      <c r="AS1259" s="570"/>
      <c r="AT1259" s="570"/>
      <c r="AU1259" s="570"/>
    </row>
    <row r="1260" spans="1:47" ht="15.75" customHeight="1">
      <c r="A1260" s="589"/>
      <c r="B1260" s="580"/>
      <c r="C1260" s="587"/>
      <c r="D1260" s="587"/>
      <c r="E1260" s="579"/>
      <c r="F1260" s="589"/>
      <c r="G1260" s="589"/>
      <c r="H1260" s="589"/>
      <c r="I1260" s="589"/>
      <c r="J1260" s="589"/>
      <c r="K1260" s="589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  <c r="Z1260" s="570"/>
      <c r="AA1260" s="570"/>
      <c r="AB1260" s="570"/>
      <c r="AC1260" s="570"/>
      <c r="AD1260" s="570"/>
      <c r="AE1260" s="570"/>
      <c r="AF1260" s="570"/>
      <c r="AG1260" s="570"/>
      <c r="AH1260" s="570"/>
      <c r="AI1260" s="570"/>
      <c r="AJ1260" s="570"/>
      <c r="AK1260" s="570"/>
      <c r="AL1260" s="570"/>
      <c r="AM1260" s="570"/>
      <c r="AN1260" s="570"/>
      <c r="AO1260" s="570"/>
      <c r="AP1260" s="570"/>
      <c r="AQ1260" s="570"/>
      <c r="AR1260" s="570"/>
      <c r="AS1260" s="570"/>
      <c r="AT1260" s="570"/>
      <c r="AU1260" s="570"/>
    </row>
    <row r="1261" spans="1:47" ht="15.75" customHeight="1">
      <c r="A1261" s="589"/>
      <c r="B1261" s="580"/>
      <c r="C1261" s="587"/>
      <c r="D1261" s="587"/>
      <c r="E1261" s="579"/>
      <c r="F1261" s="589"/>
      <c r="G1261" s="589"/>
      <c r="H1261" s="589"/>
      <c r="I1261" s="589"/>
      <c r="J1261" s="589"/>
      <c r="K1261" s="589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  <c r="Z1261" s="570"/>
      <c r="AA1261" s="570"/>
      <c r="AB1261" s="570"/>
      <c r="AC1261" s="570"/>
      <c r="AD1261" s="570"/>
      <c r="AE1261" s="570"/>
      <c r="AF1261" s="570"/>
      <c r="AG1261" s="570"/>
      <c r="AH1261" s="570"/>
      <c r="AI1261" s="570"/>
      <c r="AJ1261" s="570"/>
      <c r="AK1261" s="570"/>
      <c r="AL1261" s="570"/>
      <c r="AM1261" s="570"/>
      <c r="AN1261" s="570"/>
      <c r="AO1261" s="570"/>
      <c r="AP1261" s="570"/>
      <c r="AQ1261" s="570"/>
      <c r="AR1261" s="570"/>
      <c r="AS1261" s="570"/>
      <c r="AT1261" s="570"/>
      <c r="AU1261" s="570"/>
    </row>
    <row r="1262" spans="1:47" ht="15.75" customHeight="1">
      <c r="A1262" s="589"/>
      <c r="B1262" s="580"/>
      <c r="C1262" s="587"/>
      <c r="D1262" s="587"/>
      <c r="E1262" s="579"/>
      <c r="F1262" s="589"/>
      <c r="G1262" s="589"/>
      <c r="H1262" s="589"/>
      <c r="I1262" s="589"/>
      <c r="J1262" s="589"/>
      <c r="K1262" s="589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  <c r="Z1262" s="570"/>
      <c r="AA1262" s="570"/>
      <c r="AB1262" s="570"/>
      <c r="AC1262" s="570"/>
      <c r="AD1262" s="570"/>
      <c r="AE1262" s="570"/>
      <c r="AF1262" s="570"/>
      <c r="AG1262" s="570"/>
      <c r="AH1262" s="570"/>
      <c r="AI1262" s="570"/>
      <c r="AJ1262" s="570"/>
      <c r="AK1262" s="570"/>
      <c r="AL1262" s="570"/>
      <c r="AM1262" s="570"/>
      <c r="AN1262" s="570"/>
      <c r="AO1262" s="570"/>
      <c r="AP1262" s="570"/>
      <c r="AQ1262" s="570"/>
      <c r="AR1262" s="570"/>
      <c r="AS1262" s="570"/>
      <c r="AT1262" s="570"/>
      <c r="AU1262" s="570"/>
    </row>
    <row r="1263" spans="1:47" ht="15.75" customHeight="1">
      <c r="A1263" s="589"/>
      <c r="B1263" s="580"/>
      <c r="C1263" s="587"/>
      <c r="D1263" s="587"/>
      <c r="E1263" s="579"/>
      <c r="F1263" s="589"/>
      <c r="G1263" s="589"/>
      <c r="H1263" s="589"/>
      <c r="I1263" s="589"/>
      <c r="J1263" s="589"/>
      <c r="K1263" s="589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  <c r="Z1263" s="570"/>
      <c r="AA1263" s="570"/>
      <c r="AB1263" s="570"/>
      <c r="AC1263" s="570"/>
      <c r="AD1263" s="570"/>
      <c r="AE1263" s="570"/>
      <c r="AF1263" s="570"/>
      <c r="AG1263" s="570"/>
      <c r="AH1263" s="570"/>
      <c r="AI1263" s="570"/>
      <c r="AJ1263" s="570"/>
      <c r="AK1263" s="570"/>
      <c r="AL1263" s="570"/>
      <c r="AM1263" s="570"/>
      <c r="AN1263" s="570"/>
      <c r="AO1263" s="570"/>
      <c r="AP1263" s="570"/>
      <c r="AQ1263" s="570"/>
      <c r="AR1263" s="570"/>
      <c r="AS1263" s="570"/>
      <c r="AT1263" s="570"/>
      <c r="AU1263" s="570"/>
    </row>
    <row r="1264" spans="1:47" ht="15.75" customHeight="1">
      <c r="A1264" s="589"/>
      <c r="B1264" s="580"/>
      <c r="C1264" s="587"/>
      <c r="D1264" s="587"/>
      <c r="E1264" s="579"/>
      <c r="F1264" s="589"/>
      <c r="G1264" s="589"/>
      <c r="H1264" s="589"/>
      <c r="I1264" s="589"/>
      <c r="J1264" s="589"/>
      <c r="K1264" s="589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  <c r="Z1264" s="570"/>
      <c r="AA1264" s="570"/>
      <c r="AB1264" s="570"/>
      <c r="AC1264" s="570"/>
      <c r="AD1264" s="570"/>
      <c r="AE1264" s="570"/>
      <c r="AF1264" s="570"/>
      <c r="AG1264" s="570"/>
      <c r="AH1264" s="570"/>
      <c r="AI1264" s="570"/>
      <c r="AJ1264" s="570"/>
      <c r="AK1264" s="570"/>
      <c r="AL1264" s="570"/>
      <c r="AM1264" s="570"/>
      <c r="AN1264" s="570"/>
      <c r="AO1264" s="570"/>
      <c r="AP1264" s="570"/>
      <c r="AQ1264" s="570"/>
      <c r="AR1264" s="570"/>
      <c r="AS1264" s="570"/>
      <c r="AT1264" s="570"/>
      <c r="AU1264" s="570"/>
    </row>
    <row r="1265" spans="1:47" ht="15.75" customHeight="1">
      <c r="A1265" s="589"/>
      <c r="B1265" s="580"/>
      <c r="C1265" s="587"/>
      <c r="D1265" s="587"/>
      <c r="E1265" s="579"/>
      <c r="F1265" s="589"/>
      <c r="G1265" s="589"/>
      <c r="H1265" s="589"/>
      <c r="I1265" s="589"/>
      <c r="J1265" s="589"/>
      <c r="K1265" s="589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  <c r="Z1265" s="570"/>
      <c r="AA1265" s="570"/>
      <c r="AB1265" s="570"/>
      <c r="AC1265" s="570"/>
      <c r="AD1265" s="570"/>
      <c r="AE1265" s="570"/>
      <c r="AF1265" s="570"/>
      <c r="AG1265" s="570"/>
      <c r="AH1265" s="570"/>
      <c r="AI1265" s="570"/>
      <c r="AJ1265" s="570"/>
      <c r="AK1265" s="570"/>
      <c r="AL1265" s="570"/>
      <c r="AM1265" s="570"/>
      <c r="AN1265" s="570"/>
      <c r="AO1265" s="570"/>
      <c r="AP1265" s="570"/>
      <c r="AQ1265" s="570"/>
      <c r="AR1265" s="570"/>
      <c r="AS1265" s="570"/>
      <c r="AT1265" s="570"/>
      <c r="AU1265" s="570"/>
    </row>
    <row r="1266" spans="1:47" ht="15.75" customHeight="1">
      <c r="A1266" s="589"/>
      <c r="B1266" s="580"/>
      <c r="C1266" s="587"/>
      <c r="D1266" s="587"/>
      <c r="E1266" s="579"/>
      <c r="F1266" s="589"/>
      <c r="G1266" s="589"/>
      <c r="H1266" s="589"/>
      <c r="I1266" s="589"/>
      <c r="J1266" s="589"/>
      <c r="K1266" s="589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  <c r="Z1266" s="570"/>
      <c r="AA1266" s="570"/>
      <c r="AB1266" s="570"/>
      <c r="AC1266" s="570"/>
      <c r="AD1266" s="570"/>
      <c r="AE1266" s="570"/>
      <c r="AF1266" s="570"/>
      <c r="AG1266" s="570"/>
      <c r="AH1266" s="570"/>
      <c r="AI1266" s="570"/>
      <c r="AJ1266" s="570"/>
      <c r="AK1266" s="570"/>
      <c r="AL1266" s="570"/>
      <c r="AM1266" s="570"/>
      <c r="AN1266" s="570"/>
      <c r="AO1266" s="570"/>
      <c r="AP1266" s="570"/>
      <c r="AQ1266" s="570"/>
      <c r="AR1266" s="570"/>
      <c r="AS1266" s="570"/>
      <c r="AT1266" s="570"/>
      <c r="AU1266" s="570"/>
    </row>
    <row r="1267" spans="1:47" ht="15.75" customHeight="1">
      <c r="A1267" s="589"/>
      <c r="B1267" s="580"/>
      <c r="C1267" s="587"/>
      <c r="D1267" s="587"/>
      <c r="E1267" s="579"/>
      <c r="F1267" s="589"/>
      <c r="G1267" s="589"/>
      <c r="H1267" s="589"/>
      <c r="I1267" s="589"/>
      <c r="J1267" s="589"/>
      <c r="K1267" s="589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  <c r="Z1267" s="570"/>
      <c r="AA1267" s="570"/>
      <c r="AB1267" s="570"/>
      <c r="AC1267" s="570"/>
      <c r="AD1267" s="570"/>
      <c r="AE1267" s="570"/>
      <c r="AF1267" s="570"/>
      <c r="AG1267" s="570"/>
      <c r="AH1267" s="570"/>
      <c r="AI1267" s="570"/>
      <c r="AJ1267" s="570"/>
      <c r="AK1267" s="570"/>
      <c r="AL1267" s="570"/>
      <c r="AM1267" s="570"/>
      <c r="AN1267" s="570"/>
      <c r="AO1267" s="570"/>
      <c r="AP1267" s="570"/>
      <c r="AQ1267" s="570"/>
      <c r="AR1267" s="570"/>
      <c r="AS1267" s="570"/>
      <c r="AT1267" s="570"/>
      <c r="AU1267" s="570"/>
    </row>
    <row r="1268" spans="1:47" ht="15.75" customHeight="1">
      <c r="A1268" s="589"/>
      <c r="B1268" s="580"/>
      <c r="C1268" s="587"/>
      <c r="D1268" s="587"/>
      <c r="E1268" s="579"/>
      <c r="F1268" s="589"/>
      <c r="G1268" s="589"/>
      <c r="H1268" s="589"/>
      <c r="I1268" s="589"/>
      <c r="J1268" s="589"/>
      <c r="K1268" s="589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  <c r="Z1268" s="570"/>
      <c r="AA1268" s="570"/>
      <c r="AB1268" s="570"/>
      <c r="AC1268" s="570"/>
      <c r="AD1268" s="570"/>
      <c r="AE1268" s="570"/>
      <c r="AF1268" s="570"/>
      <c r="AG1268" s="570"/>
      <c r="AH1268" s="570"/>
      <c r="AI1268" s="570"/>
      <c r="AJ1268" s="570"/>
      <c r="AK1268" s="570"/>
      <c r="AL1268" s="570"/>
      <c r="AM1268" s="570"/>
      <c r="AN1268" s="570"/>
      <c r="AO1268" s="570"/>
      <c r="AP1268" s="570"/>
      <c r="AQ1268" s="570"/>
      <c r="AR1268" s="570"/>
      <c r="AS1268" s="570"/>
      <c r="AT1268" s="570"/>
      <c r="AU1268" s="570"/>
    </row>
    <row r="1269" spans="1:47" ht="15.75" customHeight="1">
      <c r="A1269" s="589"/>
      <c r="B1269" s="580"/>
      <c r="C1269" s="587"/>
      <c r="D1269" s="587"/>
      <c r="E1269" s="579"/>
      <c r="F1269" s="589"/>
      <c r="G1269" s="589"/>
      <c r="H1269" s="589"/>
      <c r="I1269" s="589"/>
      <c r="J1269" s="589"/>
      <c r="K1269" s="589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  <c r="Z1269" s="570"/>
      <c r="AA1269" s="570"/>
      <c r="AB1269" s="570"/>
      <c r="AC1269" s="570"/>
      <c r="AD1269" s="570"/>
      <c r="AE1269" s="570"/>
      <c r="AF1269" s="570"/>
      <c r="AG1269" s="570"/>
      <c r="AH1269" s="570"/>
      <c r="AI1269" s="570"/>
      <c r="AJ1269" s="570"/>
      <c r="AK1269" s="570"/>
      <c r="AL1269" s="570"/>
      <c r="AM1269" s="570"/>
      <c r="AN1269" s="570"/>
      <c r="AO1269" s="570"/>
      <c r="AP1269" s="570"/>
      <c r="AQ1269" s="570"/>
      <c r="AR1269" s="570"/>
      <c r="AS1269" s="570"/>
      <c r="AT1269" s="570"/>
      <c r="AU1269" s="570"/>
    </row>
    <row r="1270" spans="1:47" ht="15.75" customHeight="1">
      <c r="A1270" s="589"/>
      <c r="B1270" s="580"/>
      <c r="C1270" s="587"/>
      <c r="D1270" s="587"/>
      <c r="E1270" s="579"/>
      <c r="F1270" s="589"/>
      <c r="G1270" s="589"/>
      <c r="H1270" s="589"/>
      <c r="I1270" s="589"/>
      <c r="J1270" s="589"/>
      <c r="K1270" s="589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  <c r="Z1270" s="570"/>
      <c r="AA1270" s="570"/>
      <c r="AB1270" s="570"/>
      <c r="AC1270" s="570"/>
      <c r="AD1270" s="570"/>
      <c r="AE1270" s="570"/>
      <c r="AF1270" s="570"/>
      <c r="AG1270" s="570"/>
      <c r="AH1270" s="570"/>
      <c r="AI1270" s="570"/>
      <c r="AJ1270" s="570"/>
      <c r="AK1270" s="570"/>
      <c r="AL1270" s="570"/>
      <c r="AM1270" s="570"/>
      <c r="AN1270" s="570"/>
      <c r="AO1270" s="570"/>
      <c r="AP1270" s="570"/>
      <c r="AQ1270" s="570"/>
      <c r="AR1270" s="570"/>
      <c r="AS1270" s="570"/>
      <c r="AT1270" s="570"/>
      <c r="AU1270" s="570"/>
    </row>
    <row r="1271" spans="1:47" ht="15.75" customHeight="1">
      <c r="A1271" s="589"/>
      <c r="B1271" s="580"/>
      <c r="C1271" s="587"/>
      <c r="D1271" s="587"/>
      <c r="E1271" s="579"/>
      <c r="F1271" s="589"/>
      <c r="G1271" s="589"/>
      <c r="H1271" s="589"/>
      <c r="I1271" s="589"/>
      <c r="J1271" s="589"/>
      <c r="K1271" s="589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  <c r="Z1271" s="570"/>
      <c r="AA1271" s="570"/>
      <c r="AB1271" s="570"/>
      <c r="AC1271" s="570"/>
      <c r="AD1271" s="570"/>
      <c r="AE1271" s="570"/>
      <c r="AF1271" s="570"/>
      <c r="AG1271" s="570"/>
      <c r="AH1271" s="570"/>
      <c r="AI1271" s="570"/>
      <c r="AJ1271" s="570"/>
      <c r="AK1271" s="570"/>
      <c r="AL1271" s="570"/>
      <c r="AM1271" s="570"/>
      <c r="AN1271" s="570"/>
      <c r="AO1271" s="570"/>
      <c r="AP1271" s="570"/>
      <c r="AQ1271" s="570"/>
      <c r="AR1271" s="570"/>
      <c r="AS1271" s="570"/>
      <c r="AT1271" s="570"/>
      <c r="AU1271" s="570"/>
    </row>
    <row r="1272" spans="1:47" ht="15.75" customHeight="1">
      <c r="A1272" s="589"/>
      <c r="B1272" s="580"/>
      <c r="C1272" s="587"/>
      <c r="D1272" s="587"/>
      <c r="E1272" s="579"/>
      <c r="F1272" s="589"/>
      <c r="G1272" s="589"/>
      <c r="H1272" s="589"/>
      <c r="I1272" s="589"/>
      <c r="J1272" s="589"/>
      <c r="K1272" s="589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  <c r="Z1272" s="570"/>
      <c r="AA1272" s="570"/>
      <c r="AB1272" s="570"/>
      <c r="AC1272" s="570"/>
      <c r="AD1272" s="570"/>
      <c r="AE1272" s="570"/>
      <c r="AF1272" s="570"/>
      <c r="AG1272" s="570"/>
      <c r="AH1272" s="570"/>
      <c r="AI1272" s="570"/>
      <c r="AJ1272" s="570"/>
      <c r="AK1272" s="570"/>
      <c r="AL1272" s="570"/>
      <c r="AM1272" s="570"/>
      <c r="AN1272" s="570"/>
      <c r="AO1272" s="570"/>
      <c r="AP1272" s="570"/>
      <c r="AQ1272" s="570"/>
      <c r="AR1272" s="570"/>
      <c r="AS1272" s="570"/>
      <c r="AT1272" s="570"/>
      <c r="AU1272" s="570"/>
    </row>
    <row r="1273" spans="1:47" ht="15.75" customHeight="1">
      <c r="A1273" s="589"/>
      <c r="B1273" s="580"/>
      <c r="C1273" s="587"/>
      <c r="D1273" s="587"/>
      <c r="E1273" s="579"/>
      <c r="F1273" s="589"/>
      <c r="G1273" s="589"/>
      <c r="H1273" s="589"/>
      <c r="I1273" s="589"/>
      <c r="J1273" s="589"/>
      <c r="K1273" s="589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  <c r="Z1273" s="570"/>
      <c r="AA1273" s="570"/>
      <c r="AB1273" s="570"/>
      <c r="AC1273" s="570"/>
      <c r="AD1273" s="570"/>
      <c r="AE1273" s="570"/>
      <c r="AF1273" s="570"/>
      <c r="AG1273" s="570"/>
      <c r="AH1273" s="570"/>
      <c r="AI1273" s="570"/>
      <c r="AJ1273" s="570"/>
      <c r="AK1273" s="570"/>
      <c r="AL1273" s="570"/>
      <c r="AM1273" s="570"/>
      <c r="AN1273" s="570"/>
      <c r="AO1273" s="570"/>
      <c r="AP1273" s="570"/>
      <c r="AQ1273" s="570"/>
      <c r="AR1273" s="570"/>
      <c r="AS1273" s="570"/>
      <c r="AT1273" s="570"/>
      <c r="AU1273" s="570"/>
    </row>
    <row r="1274" spans="1:47" ht="15.75" customHeight="1">
      <c r="A1274" s="589"/>
      <c r="B1274" s="580"/>
      <c r="C1274" s="587"/>
      <c r="D1274" s="587"/>
      <c r="E1274" s="579"/>
      <c r="F1274" s="589"/>
      <c r="G1274" s="589"/>
      <c r="H1274" s="589"/>
      <c r="I1274" s="589"/>
      <c r="J1274" s="589"/>
      <c r="K1274" s="589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  <c r="Z1274" s="570"/>
      <c r="AA1274" s="570"/>
      <c r="AB1274" s="570"/>
      <c r="AC1274" s="570"/>
      <c r="AD1274" s="570"/>
      <c r="AE1274" s="570"/>
      <c r="AF1274" s="570"/>
      <c r="AG1274" s="570"/>
      <c r="AH1274" s="570"/>
      <c r="AI1274" s="570"/>
      <c r="AJ1274" s="570"/>
      <c r="AK1274" s="570"/>
      <c r="AL1274" s="570"/>
      <c r="AM1274" s="570"/>
      <c r="AN1274" s="570"/>
      <c r="AO1274" s="570"/>
      <c r="AP1274" s="570"/>
      <c r="AQ1274" s="570"/>
      <c r="AR1274" s="570"/>
      <c r="AS1274" s="570"/>
      <c r="AT1274" s="570"/>
      <c r="AU1274" s="570"/>
    </row>
    <row r="1275" spans="1:47" ht="15.75" customHeight="1">
      <c r="A1275" s="589"/>
      <c r="B1275" s="580"/>
      <c r="C1275" s="587"/>
      <c r="D1275" s="587"/>
      <c r="E1275" s="579"/>
      <c r="F1275" s="589"/>
      <c r="G1275" s="589"/>
      <c r="H1275" s="589"/>
      <c r="I1275" s="589"/>
      <c r="J1275" s="589"/>
      <c r="K1275" s="589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  <c r="Z1275" s="570"/>
      <c r="AA1275" s="570"/>
      <c r="AB1275" s="570"/>
      <c r="AC1275" s="570"/>
      <c r="AD1275" s="570"/>
      <c r="AE1275" s="570"/>
      <c r="AF1275" s="570"/>
      <c r="AG1275" s="570"/>
      <c r="AH1275" s="570"/>
      <c r="AI1275" s="570"/>
      <c r="AJ1275" s="570"/>
      <c r="AK1275" s="570"/>
      <c r="AL1275" s="570"/>
      <c r="AM1275" s="570"/>
      <c r="AN1275" s="570"/>
      <c r="AO1275" s="570"/>
      <c r="AP1275" s="570"/>
      <c r="AQ1275" s="570"/>
      <c r="AR1275" s="570"/>
      <c r="AS1275" s="570"/>
      <c r="AT1275" s="570"/>
      <c r="AU1275" s="570"/>
    </row>
    <row r="1276" spans="1:47" ht="15.75" customHeight="1">
      <c r="A1276" s="589"/>
      <c r="B1276" s="580"/>
      <c r="C1276" s="587"/>
      <c r="D1276" s="587"/>
      <c r="E1276" s="579"/>
      <c r="F1276" s="589"/>
      <c r="G1276" s="589"/>
      <c r="H1276" s="589"/>
      <c r="I1276" s="589"/>
      <c r="J1276" s="589"/>
      <c r="K1276" s="589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  <c r="Z1276" s="570"/>
      <c r="AA1276" s="570"/>
      <c r="AB1276" s="570"/>
      <c r="AC1276" s="570"/>
      <c r="AD1276" s="570"/>
      <c r="AE1276" s="570"/>
      <c r="AF1276" s="570"/>
      <c r="AG1276" s="570"/>
      <c r="AH1276" s="570"/>
      <c r="AI1276" s="570"/>
      <c r="AJ1276" s="570"/>
      <c r="AK1276" s="570"/>
      <c r="AL1276" s="570"/>
      <c r="AM1276" s="570"/>
      <c r="AN1276" s="570"/>
      <c r="AO1276" s="570"/>
      <c r="AP1276" s="570"/>
      <c r="AQ1276" s="570"/>
      <c r="AR1276" s="570"/>
      <c r="AS1276" s="570"/>
      <c r="AT1276" s="570"/>
      <c r="AU1276" s="570"/>
    </row>
    <row r="1277" spans="1:47" ht="15.75" customHeight="1">
      <c r="A1277" s="589"/>
      <c r="B1277" s="580"/>
      <c r="C1277" s="587"/>
      <c r="D1277" s="587"/>
      <c r="E1277" s="579"/>
      <c r="F1277" s="589"/>
      <c r="G1277" s="589"/>
      <c r="H1277" s="589"/>
      <c r="I1277" s="589"/>
      <c r="J1277" s="589"/>
      <c r="K1277" s="589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  <c r="Z1277" s="570"/>
      <c r="AA1277" s="570"/>
      <c r="AB1277" s="570"/>
      <c r="AC1277" s="570"/>
      <c r="AD1277" s="570"/>
      <c r="AE1277" s="570"/>
      <c r="AF1277" s="570"/>
      <c r="AG1277" s="570"/>
      <c r="AH1277" s="570"/>
      <c r="AI1277" s="570"/>
      <c r="AJ1277" s="570"/>
      <c r="AK1277" s="570"/>
      <c r="AL1277" s="570"/>
      <c r="AM1277" s="570"/>
      <c r="AN1277" s="570"/>
      <c r="AO1277" s="570"/>
      <c r="AP1277" s="570"/>
      <c r="AQ1277" s="570"/>
      <c r="AR1277" s="570"/>
      <c r="AS1277" s="570"/>
      <c r="AT1277" s="570"/>
      <c r="AU1277" s="570"/>
    </row>
    <row r="1278" spans="1:47" ht="15.75" customHeight="1">
      <c r="A1278" s="589"/>
      <c r="B1278" s="580"/>
      <c r="C1278" s="587"/>
      <c r="D1278" s="587"/>
      <c r="E1278" s="579"/>
      <c r="F1278" s="589"/>
      <c r="G1278" s="589"/>
      <c r="H1278" s="589"/>
      <c r="I1278" s="589"/>
      <c r="J1278" s="589"/>
      <c r="K1278" s="589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  <c r="Z1278" s="570"/>
      <c r="AA1278" s="570"/>
      <c r="AB1278" s="570"/>
      <c r="AC1278" s="570"/>
      <c r="AD1278" s="570"/>
      <c r="AE1278" s="570"/>
      <c r="AF1278" s="570"/>
      <c r="AG1278" s="570"/>
      <c r="AH1278" s="570"/>
      <c r="AI1278" s="570"/>
      <c r="AJ1278" s="570"/>
      <c r="AK1278" s="570"/>
      <c r="AL1278" s="570"/>
      <c r="AM1278" s="570"/>
      <c r="AN1278" s="570"/>
      <c r="AO1278" s="570"/>
      <c r="AP1278" s="570"/>
      <c r="AQ1278" s="570"/>
      <c r="AR1278" s="570"/>
      <c r="AS1278" s="570"/>
      <c r="AT1278" s="570"/>
      <c r="AU1278" s="570"/>
    </row>
    <row r="1279" spans="1:47" ht="15.75" customHeight="1">
      <c r="A1279" s="589"/>
      <c r="B1279" s="580"/>
      <c r="C1279" s="587"/>
      <c r="D1279" s="587"/>
      <c r="E1279" s="579"/>
      <c r="F1279" s="589"/>
      <c r="G1279" s="589"/>
      <c r="H1279" s="589"/>
      <c r="I1279" s="589"/>
      <c r="J1279" s="589"/>
      <c r="K1279" s="589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  <c r="Z1279" s="570"/>
      <c r="AA1279" s="570"/>
      <c r="AB1279" s="570"/>
      <c r="AC1279" s="570"/>
      <c r="AD1279" s="570"/>
      <c r="AE1279" s="570"/>
      <c r="AF1279" s="570"/>
      <c r="AG1279" s="570"/>
      <c r="AH1279" s="570"/>
      <c r="AI1279" s="570"/>
      <c r="AJ1279" s="570"/>
      <c r="AK1279" s="570"/>
      <c r="AL1279" s="570"/>
      <c r="AM1279" s="570"/>
      <c r="AN1279" s="570"/>
      <c r="AO1279" s="570"/>
      <c r="AP1279" s="570"/>
      <c r="AQ1279" s="570"/>
      <c r="AR1279" s="570"/>
      <c r="AS1279" s="570"/>
      <c r="AT1279" s="570"/>
      <c r="AU1279" s="570"/>
    </row>
    <row r="1280" spans="1:47" ht="15.75" customHeight="1">
      <c r="A1280" s="589"/>
      <c r="B1280" s="580"/>
      <c r="C1280" s="587"/>
      <c r="D1280" s="587"/>
      <c r="E1280" s="579"/>
      <c r="F1280" s="589"/>
      <c r="G1280" s="589"/>
      <c r="H1280" s="589"/>
      <c r="I1280" s="589"/>
      <c r="J1280" s="589"/>
      <c r="K1280" s="589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  <c r="Z1280" s="570"/>
      <c r="AA1280" s="570"/>
      <c r="AB1280" s="570"/>
      <c r="AC1280" s="570"/>
      <c r="AD1280" s="570"/>
      <c r="AE1280" s="570"/>
      <c r="AF1280" s="570"/>
      <c r="AG1280" s="570"/>
      <c r="AH1280" s="570"/>
      <c r="AI1280" s="570"/>
      <c r="AJ1280" s="570"/>
      <c r="AK1280" s="570"/>
      <c r="AL1280" s="570"/>
      <c r="AM1280" s="570"/>
      <c r="AN1280" s="570"/>
      <c r="AO1280" s="570"/>
      <c r="AP1280" s="570"/>
      <c r="AQ1280" s="570"/>
      <c r="AR1280" s="570"/>
      <c r="AS1280" s="570"/>
      <c r="AT1280" s="570"/>
      <c r="AU1280" s="570"/>
    </row>
    <row r="1281" spans="1:47" ht="15.75" customHeight="1">
      <c r="A1281" s="589"/>
      <c r="B1281" s="580"/>
      <c r="C1281" s="587"/>
      <c r="D1281" s="587"/>
      <c r="E1281" s="579"/>
      <c r="F1281" s="589"/>
      <c r="G1281" s="589"/>
      <c r="H1281" s="589"/>
      <c r="I1281" s="589"/>
      <c r="J1281" s="589"/>
      <c r="K1281" s="589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  <c r="Z1281" s="570"/>
      <c r="AA1281" s="570"/>
      <c r="AB1281" s="570"/>
      <c r="AC1281" s="570"/>
      <c r="AD1281" s="570"/>
      <c r="AE1281" s="570"/>
      <c r="AF1281" s="570"/>
      <c r="AG1281" s="570"/>
      <c r="AH1281" s="570"/>
      <c r="AI1281" s="570"/>
      <c r="AJ1281" s="570"/>
      <c r="AK1281" s="570"/>
      <c r="AL1281" s="570"/>
      <c r="AM1281" s="570"/>
      <c r="AN1281" s="570"/>
      <c r="AO1281" s="570"/>
      <c r="AP1281" s="570"/>
      <c r="AQ1281" s="570"/>
      <c r="AR1281" s="570"/>
      <c r="AS1281" s="570"/>
      <c r="AT1281" s="570"/>
      <c r="AU1281" s="570"/>
    </row>
    <row r="1282" spans="1:47" ht="15.75" customHeight="1">
      <c r="A1282" s="589"/>
      <c r="B1282" s="580"/>
      <c r="C1282" s="587"/>
      <c r="D1282" s="587"/>
      <c r="E1282" s="579"/>
      <c r="F1282" s="589"/>
      <c r="G1282" s="589"/>
      <c r="H1282" s="589"/>
      <c r="I1282" s="589"/>
      <c r="J1282" s="589"/>
      <c r="K1282" s="589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  <c r="Z1282" s="570"/>
      <c r="AA1282" s="570"/>
      <c r="AB1282" s="570"/>
      <c r="AC1282" s="570"/>
      <c r="AD1282" s="570"/>
      <c r="AE1282" s="570"/>
      <c r="AF1282" s="570"/>
      <c r="AG1282" s="570"/>
      <c r="AH1282" s="570"/>
      <c r="AI1282" s="570"/>
      <c r="AJ1282" s="570"/>
      <c r="AK1282" s="570"/>
      <c r="AL1282" s="570"/>
      <c r="AM1282" s="570"/>
      <c r="AN1282" s="570"/>
      <c r="AO1282" s="570"/>
      <c r="AP1282" s="570"/>
      <c r="AQ1282" s="570"/>
      <c r="AR1282" s="570"/>
      <c r="AS1282" s="570"/>
      <c r="AT1282" s="570"/>
      <c r="AU1282" s="570"/>
    </row>
    <row r="1283" spans="1:47" ht="15.75" customHeight="1">
      <c r="A1283" s="589"/>
      <c r="B1283" s="580"/>
      <c r="C1283" s="587"/>
      <c r="D1283" s="587"/>
      <c r="E1283" s="579"/>
      <c r="F1283" s="589"/>
      <c r="G1283" s="589"/>
      <c r="H1283" s="589"/>
      <c r="I1283" s="589"/>
      <c r="J1283" s="589"/>
      <c r="K1283" s="589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  <c r="Z1283" s="570"/>
      <c r="AA1283" s="570"/>
      <c r="AB1283" s="570"/>
      <c r="AC1283" s="570"/>
      <c r="AD1283" s="570"/>
      <c r="AE1283" s="570"/>
      <c r="AF1283" s="570"/>
      <c r="AG1283" s="570"/>
      <c r="AH1283" s="570"/>
      <c r="AI1283" s="570"/>
      <c r="AJ1283" s="570"/>
      <c r="AK1283" s="570"/>
      <c r="AL1283" s="570"/>
      <c r="AM1283" s="570"/>
      <c r="AN1283" s="570"/>
      <c r="AO1283" s="570"/>
      <c r="AP1283" s="570"/>
      <c r="AQ1283" s="570"/>
      <c r="AR1283" s="570"/>
      <c r="AS1283" s="570"/>
      <c r="AT1283" s="570"/>
      <c r="AU1283" s="570"/>
    </row>
    <row r="1284" spans="1:47" ht="15.75" customHeight="1">
      <c r="A1284" s="589"/>
      <c r="B1284" s="580"/>
      <c r="C1284" s="587"/>
      <c r="D1284" s="587"/>
      <c r="E1284" s="579"/>
      <c r="F1284" s="589"/>
      <c r="G1284" s="589"/>
      <c r="H1284" s="589"/>
      <c r="I1284" s="589"/>
      <c r="J1284" s="589"/>
      <c r="K1284" s="589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  <c r="Z1284" s="570"/>
      <c r="AA1284" s="570"/>
      <c r="AB1284" s="570"/>
      <c r="AC1284" s="570"/>
      <c r="AD1284" s="570"/>
      <c r="AE1284" s="570"/>
      <c r="AF1284" s="570"/>
      <c r="AG1284" s="570"/>
      <c r="AH1284" s="570"/>
      <c r="AI1284" s="570"/>
      <c r="AJ1284" s="570"/>
      <c r="AK1284" s="570"/>
      <c r="AL1284" s="570"/>
      <c r="AM1284" s="570"/>
      <c r="AN1284" s="570"/>
      <c r="AO1284" s="570"/>
      <c r="AP1284" s="570"/>
      <c r="AQ1284" s="570"/>
      <c r="AR1284" s="570"/>
      <c r="AS1284" s="570"/>
      <c r="AT1284" s="570"/>
      <c r="AU1284" s="570"/>
    </row>
    <row r="1285" spans="1:47" ht="15.75" customHeight="1">
      <c r="A1285" s="589"/>
      <c r="B1285" s="580"/>
      <c r="C1285" s="587"/>
      <c r="D1285" s="587"/>
      <c r="E1285" s="579"/>
      <c r="F1285" s="589"/>
      <c r="G1285" s="589"/>
      <c r="H1285" s="589"/>
      <c r="I1285" s="589"/>
      <c r="J1285" s="589"/>
      <c r="K1285" s="589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  <c r="Z1285" s="570"/>
      <c r="AA1285" s="570"/>
      <c r="AB1285" s="570"/>
      <c r="AC1285" s="570"/>
      <c r="AD1285" s="570"/>
      <c r="AE1285" s="570"/>
      <c r="AF1285" s="570"/>
      <c r="AG1285" s="570"/>
      <c r="AH1285" s="570"/>
      <c r="AI1285" s="570"/>
      <c r="AJ1285" s="570"/>
      <c r="AK1285" s="570"/>
      <c r="AL1285" s="570"/>
      <c r="AM1285" s="570"/>
      <c r="AN1285" s="570"/>
      <c r="AO1285" s="570"/>
      <c r="AP1285" s="570"/>
      <c r="AQ1285" s="570"/>
      <c r="AR1285" s="570"/>
      <c r="AS1285" s="570"/>
      <c r="AT1285" s="570"/>
      <c r="AU1285" s="570"/>
    </row>
    <row r="1286" spans="1:47" ht="15.75" customHeight="1">
      <c r="A1286" s="589"/>
      <c r="B1286" s="580"/>
      <c r="C1286" s="587"/>
      <c r="D1286" s="587"/>
      <c r="E1286" s="579"/>
      <c r="F1286" s="589"/>
      <c r="G1286" s="589"/>
      <c r="H1286" s="589"/>
      <c r="I1286" s="589"/>
      <c r="J1286" s="589"/>
      <c r="K1286" s="589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  <c r="Z1286" s="570"/>
      <c r="AA1286" s="570"/>
      <c r="AB1286" s="570"/>
      <c r="AC1286" s="570"/>
      <c r="AD1286" s="570"/>
      <c r="AE1286" s="570"/>
      <c r="AF1286" s="570"/>
      <c r="AG1286" s="570"/>
      <c r="AH1286" s="570"/>
      <c r="AI1286" s="570"/>
      <c r="AJ1286" s="570"/>
      <c r="AK1286" s="570"/>
      <c r="AL1286" s="570"/>
      <c r="AM1286" s="570"/>
      <c r="AN1286" s="570"/>
      <c r="AO1286" s="570"/>
      <c r="AP1286" s="570"/>
      <c r="AQ1286" s="570"/>
      <c r="AR1286" s="570"/>
      <c r="AS1286" s="570"/>
      <c r="AT1286" s="570"/>
      <c r="AU1286" s="570"/>
    </row>
    <row r="1287" spans="1:47" ht="15.75" customHeight="1">
      <c r="A1287" s="589"/>
      <c r="B1287" s="580"/>
      <c r="C1287" s="587"/>
      <c r="D1287" s="587"/>
      <c r="E1287" s="579"/>
      <c r="F1287" s="589"/>
      <c r="G1287" s="589"/>
      <c r="H1287" s="589"/>
      <c r="I1287" s="589"/>
      <c r="J1287" s="589"/>
      <c r="K1287" s="589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  <c r="Z1287" s="570"/>
      <c r="AA1287" s="570"/>
      <c r="AB1287" s="570"/>
      <c r="AC1287" s="570"/>
      <c r="AD1287" s="570"/>
      <c r="AE1287" s="570"/>
      <c r="AF1287" s="570"/>
      <c r="AG1287" s="570"/>
      <c r="AH1287" s="570"/>
      <c r="AI1287" s="570"/>
      <c r="AJ1287" s="570"/>
      <c r="AK1287" s="570"/>
      <c r="AL1287" s="570"/>
      <c r="AM1287" s="570"/>
      <c r="AN1287" s="570"/>
      <c r="AO1287" s="570"/>
      <c r="AP1287" s="570"/>
      <c r="AQ1287" s="570"/>
      <c r="AR1287" s="570"/>
      <c r="AS1287" s="570"/>
      <c r="AT1287" s="570"/>
      <c r="AU1287" s="570"/>
    </row>
    <row r="1288" spans="1:47" ht="15.75" customHeight="1">
      <c r="A1288" s="589"/>
      <c r="B1288" s="580"/>
      <c r="C1288" s="587"/>
      <c r="D1288" s="587"/>
      <c r="E1288" s="579"/>
      <c r="F1288" s="589"/>
      <c r="G1288" s="589"/>
      <c r="H1288" s="589"/>
      <c r="I1288" s="589"/>
      <c r="J1288" s="589"/>
      <c r="K1288" s="589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  <c r="Z1288" s="570"/>
      <c r="AA1288" s="570"/>
      <c r="AB1288" s="570"/>
      <c r="AC1288" s="570"/>
      <c r="AD1288" s="570"/>
      <c r="AE1288" s="570"/>
      <c r="AF1288" s="570"/>
      <c r="AG1288" s="570"/>
      <c r="AH1288" s="570"/>
      <c r="AI1288" s="570"/>
      <c r="AJ1288" s="570"/>
      <c r="AK1288" s="570"/>
      <c r="AL1288" s="570"/>
      <c r="AM1288" s="570"/>
      <c r="AN1288" s="570"/>
      <c r="AO1288" s="570"/>
      <c r="AP1288" s="570"/>
      <c r="AQ1288" s="570"/>
      <c r="AR1288" s="570"/>
      <c r="AS1288" s="570"/>
      <c r="AT1288" s="570"/>
      <c r="AU1288" s="570"/>
    </row>
    <row r="1289" spans="1:47" ht="15.75" customHeight="1">
      <c r="A1289" s="589"/>
      <c r="B1289" s="580"/>
      <c r="C1289" s="587"/>
      <c r="D1289" s="587"/>
      <c r="E1289" s="579"/>
      <c r="F1289" s="589"/>
      <c r="G1289" s="589"/>
      <c r="H1289" s="589"/>
      <c r="I1289" s="589"/>
      <c r="J1289" s="589"/>
      <c r="K1289" s="589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  <c r="Z1289" s="570"/>
      <c r="AA1289" s="570"/>
      <c r="AB1289" s="570"/>
      <c r="AC1289" s="570"/>
      <c r="AD1289" s="570"/>
      <c r="AE1289" s="570"/>
      <c r="AF1289" s="570"/>
      <c r="AG1289" s="570"/>
      <c r="AH1289" s="570"/>
      <c r="AI1289" s="570"/>
      <c r="AJ1289" s="570"/>
      <c r="AK1289" s="570"/>
      <c r="AL1289" s="570"/>
      <c r="AM1289" s="570"/>
      <c r="AN1289" s="570"/>
      <c r="AO1289" s="570"/>
      <c r="AP1289" s="570"/>
      <c r="AQ1289" s="570"/>
      <c r="AR1289" s="570"/>
      <c r="AS1289" s="570"/>
      <c r="AT1289" s="570"/>
      <c r="AU1289" s="570"/>
    </row>
    <row r="1290" spans="1:47" ht="15.75" customHeight="1">
      <c r="A1290" s="589"/>
      <c r="B1290" s="580"/>
      <c r="C1290" s="587"/>
      <c r="D1290" s="587"/>
      <c r="E1290" s="579"/>
      <c r="F1290" s="589"/>
      <c r="G1290" s="589"/>
      <c r="H1290" s="589"/>
      <c r="I1290" s="589"/>
      <c r="J1290" s="589"/>
      <c r="K1290" s="589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  <c r="Z1290" s="570"/>
      <c r="AA1290" s="570"/>
      <c r="AB1290" s="570"/>
      <c r="AC1290" s="570"/>
      <c r="AD1290" s="570"/>
      <c r="AE1290" s="570"/>
      <c r="AF1290" s="570"/>
      <c r="AG1290" s="570"/>
      <c r="AH1290" s="570"/>
      <c r="AI1290" s="570"/>
      <c r="AJ1290" s="570"/>
      <c r="AK1290" s="570"/>
      <c r="AL1290" s="570"/>
      <c r="AM1290" s="570"/>
      <c r="AN1290" s="570"/>
      <c r="AO1290" s="570"/>
      <c r="AP1290" s="570"/>
      <c r="AQ1290" s="570"/>
      <c r="AR1290" s="570"/>
      <c r="AS1290" s="570"/>
      <c r="AT1290" s="570"/>
      <c r="AU1290" s="570"/>
    </row>
    <row r="1291" spans="1:47" ht="15.75" customHeight="1">
      <c r="A1291" s="589"/>
      <c r="B1291" s="580"/>
      <c r="C1291" s="587"/>
      <c r="D1291" s="587"/>
      <c r="E1291" s="579"/>
      <c r="F1291" s="589"/>
      <c r="G1291" s="589"/>
      <c r="H1291" s="589"/>
      <c r="I1291" s="589"/>
      <c r="J1291" s="589"/>
      <c r="K1291" s="589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  <c r="Z1291" s="570"/>
      <c r="AA1291" s="570"/>
      <c r="AB1291" s="570"/>
      <c r="AC1291" s="570"/>
      <c r="AD1291" s="570"/>
      <c r="AE1291" s="570"/>
      <c r="AF1291" s="570"/>
      <c r="AG1291" s="570"/>
      <c r="AH1291" s="570"/>
      <c r="AI1291" s="570"/>
      <c r="AJ1291" s="570"/>
      <c r="AK1291" s="570"/>
      <c r="AL1291" s="570"/>
      <c r="AM1291" s="570"/>
      <c r="AN1291" s="570"/>
      <c r="AO1291" s="570"/>
      <c r="AP1291" s="570"/>
      <c r="AQ1291" s="570"/>
      <c r="AR1291" s="570"/>
      <c r="AS1291" s="570"/>
      <c r="AT1291" s="570"/>
      <c r="AU1291" s="570"/>
    </row>
    <row r="1292" spans="1:47" ht="15.75" customHeight="1">
      <c r="A1292" s="589"/>
      <c r="B1292" s="580"/>
      <c r="C1292" s="587"/>
      <c r="D1292" s="587"/>
      <c r="E1292" s="579"/>
      <c r="F1292" s="589"/>
      <c r="G1292" s="589"/>
      <c r="H1292" s="589"/>
      <c r="I1292" s="589"/>
      <c r="J1292" s="589"/>
      <c r="K1292" s="589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  <c r="Z1292" s="570"/>
      <c r="AA1292" s="570"/>
      <c r="AB1292" s="570"/>
      <c r="AC1292" s="570"/>
      <c r="AD1292" s="570"/>
      <c r="AE1292" s="570"/>
      <c r="AF1292" s="570"/>
      <c r="AG1292" s="570"/>
      <c r="AH1292" s="570"/>
      <c r="AI1292" s="570"/>
      <c r="AJ1292" s="570"/>
      <c r="AK1292" s="570"/>
      <c r="AL1292" s="570"/>
      <c r="AM1292" s="570"/>
      <c r="AN1292" s="570"/>
      <c r="AO1292" s="570"/>
      <c r="AP1292" s="570"/>
      <c r="AQ1292" s="570"/>
      <c r="AR1292" s="570"/>
      <c r="AS1292" s="570"/>
      <c r="AT1292" s="570"/>
      <c r="AU1292" s="570"/>
    </row>
    <row r="1293" spans="1:47" ht="15.75" customHeight="1">
      <c r="A1293" s="589"/>
      <c r="B1293" s="580"/>
      <c r="C1293" s="587"/>
      <c r="D1293" s="587"/>
      <c r="E1293" s="579"/>
      <c r="F1293" s="589"/>
      <c r="G1293" s="589"/>
      <c r="H1293" s="589"/>
      <c r="I1293" s="589"/>
      <c r="J1293" s="589"/>
      <c r="K1293" s="589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  <c r="Z1293" s="570"/>
      <c r="AA1293" s="570"/>
      <c r="AB1293" s="570"/>
      <c r="AC1293" s="570"/>
      <c r="AD1293" s="570"/>
      <c r="AE1293" s="570"/>
      <c r="AF1293" s="570"/>
      <c r="AG1293" s="570"/>
      <c r="AH1293" s="570"/>
      <c r="AI1293" s="570"/>
      <c r="AJ1293" s="570"/>
      <c r="AK1293" s="570"/>
      <c r="AL1293" s="570"/>
      <c r="AM1293" s="570"/>
      <c r="AN1293" s="570"/>
      <c r="AO1293" s="570"/>
      <c r="AP1293" s="570"/>
      <c r="AQ1293" s="570"/>
      <c r="AR1293" s="570"/>
      <c r="AS1293" s="570"/>
      <c r="AT1293" s="570"/>
      <c r="AU1293" s="570"/>
    </row>
    <row r="1294" spans="1:47" ht="15.75" customHeight="1">
      <c r="A1294" s="589"/>
      <c r="B1294" s="580"/>
      <c r="C1294" s="587"/>
      <c r="D1294" s="587"/>
      <c r="E1294" s="579"/>
      <c r="F1294" s="589"/>
      <c r="G1294" s="589"/>
      <c r="H1294" s="589"/>
      <c r="I1294" s="589"/>
      <c r="J1294" s="589"/>
      <c r="K1294" s="589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  <c r="Z1294" s="570"/>
      <c r="AA1294" s="570"/>
      <c r="AB1294" s="570"/>
      <c r="AC1294" s="570"/>
      <c r="AD1294" s="570"/>
      <c r="AE1294" s="570"/>
      <c r="AF1294" s="570"/>
      <c r="AG1294" s="570"/>
      <c r="AH1294" s="570"/>
      <c r="AI1294" s="570"/>
      <c r="AJ1294" s="570"/>
      <c r="AK1294" s="570"/>
      <c r="AL1294" s="570"/>
      <c r="AM1294" s="570"/>
      <c r="AN1294" s="570"/>
      <c r="AO1294" s="570"/>
      <c r="AP1294" s="570"/>
      <c r="AQ1294" s="570"/>
      <c r="AR1294" s="570"/>
      <c r="AS1294" s="570"/>
      <c r="AT1294" s="570"/>
      <c r="AU1294" s="570"/>
    </row>
    <row r="1295" spans="1:47" ht="15.75" customHeight="1">
      <c r="A1295" s="589"/>
      <c r="B1295" s="580"/>
      <c r="C1295" s="587"/>
      <c r="D1295" s="587"/>
      <c r="E1295" s="579"/>
      <c r="F1295" s="589"/>
      <c r="G1295" s="589"/>
      <c r="H1295" s="589"/>
      <c r="I1295" s="589"/>
      <c r="J1295" s="589"/>
      <c r="K1295" s="589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  <c r="Z1295" s="570"/>
      <c r="AA1295" s="570"/>
      <c r="AB1295" s="570"/>
      <c r="AC1295" s="570"/>
      <c r="AD1295" s="570"/>
      <c r="AE1295" s="570"/>
      <c r="AF1295" s="570"/>
      <c r="AG1295" s="570"/>
      <c r="AH1295" s="570"/>
      <c r="AI1295" s="570"/>
      <c r="AJ1295" s="570"/>
      <c r="AK1295" s="570"/>
      <c r="AL1295" s="570"/>
      <c r="AM1295" s="570"/>
      <c r="AN1295" s="570"/>
      <c r="AO1295" s="570"/>
      <c r="AP1295" s="570"/>
      <c r="AQ1295" s="570"/>
      <c r="AR1295" s="570"/>
      <c r="AS1295" s="570"/>
      <c r="AT1295" s="570"/>
      <c r="AU1295" s="570"/>
    </row>
    <row r="1296" spans="1:47" ht="15.75" customHeight="1">
      <c r="A1296" s="589"/>
      <c r="B1296" s="580"/>
      <c r="C1296" s="587"/>
      <c r="D1296" s="587"/>
      <c r="E1296" s="579"/>
      <c r="F1296" s="589"/>
      <c r="G1296" s="589"/>
      <c r="H1296" s="589"/>
      <c r="I1296" s="589"/>
      <c r="J1296" s="589"/>
      <c r="K1296" s="589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  <c r="Z1296" s="570"/>
      <c r="AA1296" s="570"/>
      <c r="AB1296" s="570"/>
      <c r="AC1296" s="570"/>
      <c r="AD1296" s="570"/>
      <c r="AE1296" s="570"/>
      <c r="AF1296" s="570"/>
      <c r="AG1296" s="570"/>
      <c r="AH1296" s="570"/>
      <c r="AI1296" s="570"/>
      <c r="AJ1296" s="570"/>
      <c r="AK1296" s="570"/>
      <c r="AL1296" s="570"/>
      <c r="AM1296" s="570"/>
      <c r="AN1296" s="570"/>
      <c r="AO1296" s="570"/>
      <c r="AP1296" s="570"/>
      <c r="AQ1296" s="570"/>
      <c r="AR1296" s="570"/>
      <c r="AS1296" s="570"/>
      <c r="AT1296" s="570"/>
      <c r="AU1296" s="570"/>
    </row>
    <row r="1297" spans="1:47" ht="15.75" customHeight="1">
      <c r="A1297" s="589"/>
      <c r="B1297" s="580"/>
      <c r="C1297" s="587"/>
      <c r="D1297" s="587"/>
      <c r="E1297" s="579"/>
      <c r="F1297" s="589"/>
      <c r="G1297" s="589"/>
      <c r="H1297" s="589"/>
      <c r="I1297" s="589"/>
      <c r="J1297" s="589"/>
      <c r="K1297" s="589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  <c r="Z1297" s="570"/>
      <c r="AA1297" s="570"/>
      <c r="AB1297" s="570"/>
      <c r="AC1297" s="570"/>
      <c r="AD1297" s="570"/>
      <c r="AE1297" s="570"/>
      <c r="AF1297" s="570"/>
      <c r="AG1297" s="570"/>
      <c r="AH1297" s="570"/>
      <c r="AI1297" s="570"/>
      <c r="AJ1297" s="570"/>
      <c r="AK1297" s="570"/>
      <c r="AL1297" s="570"/>
      <c r="AM1297" s="570"/>
      <c r="AN1297" s="570"/>
      <c r="AO1297" s="570"/>
      <c r="AP1297" s="570"/>
      <c r="AQ1297" s="570"/>
      <c r="AR1297" s="570"/>
      <c r="AS1297" s="570"/>
      <c r="AT1297" s="570"/>
      <c r="AU1297" s="570"/>
    </row>
    <row r="1298" spans="1:47" ht="15.75" customHeight="1">
      <c r="A1298" s="589"/>
      <c r="B1298" s="580"/>
      <c r="C1298" s="587"/>
      <c r="D1298" s="587"/>
      <c r="E1298" s="579"/>
      <c r="F1298" s="589"/>
      <c r="G1298" s="589"/>
      <c r="H1298" s="589"/>
      <c r="I1298" s="589"/>
      <c r="J1298" s="589"/>
      <c r="K1298" s="589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  <c r="Z1298" s="570"/>
      <c r="AA1298" s="570"/>
      <c r="AB1298" s="570"/>
      <c r="AC1298" s="570"/>
      <c r="AD1298" s="570"/>
      <c r="AE1298" s="570"/>
      <c r="AF1298" s="570"/>
      <c r="AG1298" s="570"/>
      <c r="AH1298" s="570"/>
      <c r="AI1298" s="570"/>
      <c r="AJ1298" s="570"/>
      <c r="AK1298" s="570"/>
      <c r="AL1298" s="570"/>
      <c r="AM1298" s="570"/>
      <c r="AN1298" s="570"/>
      <c r="AO1298" s="570"/>
      <c r="AP1298" s="570"/>
      <c r="AQ1298" s="570"/>
      <c r="AR1298" s="570"/>
      <c r="AS1298" s="570"/>
      <c r="AT1298" s="570"/>
      <c r="AU1298" s="570"/>
    </row>
    <row r="1299" spans="1:47" ht="15.75" customHeight="1">
      <c r="A1299" s="589"/>
      <c r="B1299" s="580"/>
      <c r="C1299" s="587"/>
      <c r="D1299" s="587"/>
      <c r="E1299" s="579"/>
      <c r="F1299" s="589"/>
      <c r="G1299" s="589"/>
      <c r="H1299" s="589"/>
      <c r="I1299" s="589"/>
      <c r="J1299" s="589"/>
      <c r="K1299" s="589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  <c r="Z1299" s="570"/>
      <c r="AA1299" s="570"/>
      <c r="AB1299" s="570"/>
      <c r="AC1299" s="570"/>
      <c r="AD1299" s="570"/>
      <c r="AE1299" s="570"/>
      <c r="AF1299" s="570"/>
      <c r="AG1299" s="570"/>
      <c r="AH1299" s="570"/>
      <c r="AI1299" s="570"/>
      <c r="AJ1299" s="570"/>
      <c r="AK1299" s="570"/>
      <c r="AL1299" s="570"/>
      <c r="AM1299" s="570"/>
      <c r="AN1299" s="570"/>
      <c r="AO1299" s="570"/>
      <c r="AP1299" s="570"/>
      <c r="AQ1299" s="570"/>
      <c r="AR1299" s="570"/>
      <c r="AS1299" s="570"/>
      <c r="AT1299" s="570"/>
      <c r="AU1299" s="570"/>
    </row>
    <row r="1300" spans="1:47" ht="15.75" customHeight="1">
      <c r="A1300" s="589"/>
      <c r="B1300" s="580"/>
      <c r="C1300" s="587"/>
      <c r="D1300" s="587"/>
      <c r="E1300" s="579"/>
      <c r="F1300" s="589"/>
      <c r="G1300" s="589"/>
      <c r="H1300" s="589"/>
      <c r="I1300" s="589"/>
      <c r="J1300" s="589"/>
      <c r="K1300" s="589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  <c r="Z1300" s="570"/>
      <c r="AA1300" s="570"/>
      <c r="AB1300" s="570"/>
      <c r="AC1300" s="570"/>
      <c r="AD1300" s="570"/>
      <c r="AE1300" s="570"/>
      <c r="AF1300" s="570"/>
      <c r="AG1300" s="570"/>
      <c r="AH1300" s="570"/>
      <c r="AI1300" s="570"/>
      <c r="AJ1300" s="570"/>
      <c r="AK1300" s="570"/>
      <c r="AL1300" s="570"/>
      <c r="AM1300" s="570"/>
      <c r="AN1300" s="570"/>
      <c r="AO1300" s="570"/>
      <c r="AP1300" s="570"/>
      <c r="AQ1300" s="570"/>
      <c r="AR1300" s="570"/>
      <c r="AS1300" s="570"/>
      <c r="AT1300" s="570"/>
      <c r="AU1300" s="570"/>
    </row>
  </sheetData>
  <customSheetViews>
    <customSheetView guid="{89DCB3A4-F7C2-4C7C-AF22-113C3208476C}" filter="1" showAutoFilter="1">
      <pageMargins left="0.511811024" right="0.511811024" top="0.78740157499999996" bottom="0.78740157499999996" header="0.31496062000000002" footer="0.31496062000000002"/>
      <autoFilter ref="A2:K798" xr:uid="{994FF5BC-CC28-45FF-A1EA-5347F7DC617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2024-10-23T12:53:24Z</dcterms:modified>
</cp:coreProperties>
</file>